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Ready to Post to Web\Web Prep wkg nkd\"/>
    </mc:Choice>
  </mc:AlternateContent>
  <bookViews>
    <workbookView xWindow="0" yWindow="0" windowWidth="28800" windowHeight="12300" tabRatio="884"/>
  </bookViews>
  <sheets>
    <sheet name="Faculty Headcount FTE College" sheetId="1" r:id="rId1"/>
  </sheets>
  <definedNames>
    <definedName name="_xlnm.Print_Area" localSheetId="0">'Faculty Headcount FTE College'!$A$1:$BH$114</definedName>
  </definedNames>
  <calcPr calcId="162913"/>
</workbook>
</file>

<file path=xl/calcChain.xml><?xml version="1.0" encoding="utf-8"?>
<calcChain xmlns="http://schemas.openxmlformats.org/spreadsheetml/2006/main">
  <c r="BE91" i="1" l="1"/>
  <c r="BE90" i="1"/>
  <c r="BF90" i="1"/>
  <c r="BF91" i="1" l="1"/>
  <c r="BF96" i="1" l="1"/>
  <c r="BE80" i="1" l="1"/>
  <c r="BF80" i="1"/>
  <c r="BE71" i="1"/>
  <c r="BF71" i="1"/>
  <c r="BE53" i="1"/>
  <c r="BF53" i="1"/>
  <c r="BE44" i="1"/>
  <c r="BF44" i="1"/>
  <c r="BE35" i="1"/>
  <c r="BF35" i="1"/>
  <c r="BE26" i="1"/>
  <c r="BF26" i="1"/>
  <c r="BF17" i="1"/>
  <c r="BE17" i="1"/>
  <c r="BF8" i="1"/>
  <c r="BE8" i="1"/>
  <c r="BF95" i="1"/>
  <c r="BE96" i="1"/>
  <c r="BE95" i="1"/>
  <c r="BE94" i="1"/>
  <c r="BF94" i="1"/>
  <c r="BF93" i="1"/>
  <c r="BB92" i="1"/>
  <c r="BF92" i="1"/>
  <c r="BE89" i="1" l="1"/>
  <c r="BF89" i="1"/>
  <c r="BE93" i="1"/>
  <c r="BE92" i="1"/>
  <c r="BB44" i="1" l="1"/>
  <c r="BA80" i="1" l="1"/>
  <c r="BA71" i="1"/>
  <c r="BA53" i="1" l="1"/>
  <c r="BA44" i="1"/>
  <c r="BA35" i="1"/>
  <c r="BA26" i="1"/>
  <c r="BA17" i="1"/>
  <c r="BA8" i="1"/>
  <c r="BB96" i="1" l="1"/>
  <c r="BB95" i="1"/>
  <c r="BB94" i="1"/>
  <c r="BB93" i="1"/>
  <c r="BB91" i="1"/>
  <c r="BB90" i="1"/>
  <c r="BA96" i="1"/>
  <c r="BA95" i="1"/>
  <c r="BA94" i="1"/>
  <c r="BA93" i="1"/>
  <c r="BA92" i="1"/>
  <c r="BA91" i="1"/>
  <c r="BA90" i="1"/>
  <c r="BB80" i="1"/>
  <c r="BB71" i="1"/>
  <c r="BB53" i="1"/>
  <c r="BB35" i="1"/>
  <c r="BB26" i="1"/>
  <c r="BB17" i="1"/>
  <c r="BB8" i="1"/>
  <c r="BA89" i="1" l="1"/>
  <c r="BB89" i="1"/>
  <c r="AY96" i="1" l="1"/>
  <c r="AX96" i="1"/>
  <c r="AY95" i="1"/>
  <c r="AX95" i="1"/>
  <c r="AY94" i="1"/>
  <c r="AX94" i="1"/>
  <c r="AY93" i="1"/>
  <c r="AX93" i="1"/>
  <c r="AY92" i="1"/>
  <c r="AX92" i="1"/>
  <c r="AY91" i="1"/>
  <c r="AX91" i="1"/>
  <c r="AY80" i="1"/>
  <c r="AX80" i="1"/>
  <c r="AY72" i="1"/>
  <c r="AX72" i="1"/>
  <c r="AX71" i="1" s="1"/>
  <c r="AY54" i="1"/>
  <c r="AY53" i="1" s="1"/>
  <c r="AX54" i="1"/>
  <c r="AX53" i="1" s="1"/>
  <c r="AY45" i="1"/>
  <c r="AY44" i="1" s="1"/>
  <c r="AX45" i="1"/>
  <c r="AX44" i="1" s="1"/>
  <c r="AY36" i="1"/>
  <c r="AY35" i="1" s="1"/>
  <c r="AX36" i="1"/>
  <c r="AX35" i="1" s="1"/>
  <c r="AX27" i="1"/>
  <c r="AX26" i="1" s="1"/>
  <c r="AY26" i="1"/>
  <c r="AX18" i="1"/>
  <c r="AY17" i="1"/>
  <c r="AX9" i="1"/>
  <c r="AX8" i="1" s="1"/>
  <c r="AY8" i="1"/>
  <c r="AV96" i="1"/>
  <c r="AU96" i="1"/>
  <c r="AV95" i="1"/>
  <c r="AU95" i="1"/>
  <c r="AV94" i="1"/>
  <c r="AU94" i="1"/>
  <c r="AV93" i="1"/>
  <c r="AU93" i="1"/>
  <c r="AV92" i="1"/>
  <c r="AU92" i="1"/>
  <c r="AV91" i="1"/>
  <c r="AU91" i="1"/>
  <c r="AV90" i="1"/>
  <c r="AU90" i="1"/>
  <c r="AV80" i="1"/>
  <c r="AU80" i="1"/>
  <c r="AV71" i="1"/>
  <c r="AU71" i="1"/>
  <c r="AV53" i="1"/>
  <c r="AU53" i="1"/>
  <c r="AV44" i="1"/>
  <c r="AU44" i="1"/>
  <c r="AV35" i="1"/>
  <c r="AU35" i="1"/>
  <c r="AV26" i="1"/>
  <c r="AU26" i="1"/>
  <c r="AV17" i="1"/>
  <c r="AU17" i="1"/>
  <c r="AV8" i="1"/>
  <c r="AU8" i="1"/>
  <c r="AS96" i="1"/>
  <c r="AR96" i="1"/>
  <c r="AS95" i="1"/>
  <c r="AR95" i="1"/>
  <c r="AS94" i="1"/>
  <c r="AR94" i="1"/>
  <c r="AS93" i="1"/>
  <c r="AR93" i="1"/>
  <c r="AS92" i="1"/>
  <c r="AR92" i="1"/>
  <c r="AS91" i="1"/>
  <c r="AR91" i="1"/>
  <c r="AS90" i="1"/>
  <c r="AR90" i="1"/>
  <c r="AS80" i="1"/>
  <c r="AR80" i="1"/>
  <c r="AS71" i="1"/>
  <c r="AR71" i="1"/>
  <c r="AS53" i="1"/>
  <c r="AR53" i="1"/>
  <c r="AS44" i="1"/>
  <c r="AR44" i="1"/>
  <c r="AS35" i="1"/>
  <c r="AR35" i="1"/>
  <c r="AS26" i="1"/>
  <c r="AR26" i="1"/>
  <c r="AS17" i="1"/>
  <c r="AR17" i="1"/>
  <c r="AS8" i="1"/>
  <c r="AR8" i="1"/>
  <c r="AY71" i="1" l="1"/>
  <c r="AY90" i="1"/>
  <c r="AY89" i="1" s="1"/>
  <c r="AU89" i="1"/>
  <c r="AV89" i="1"/>
  <c r="AR89" i="1"/>
  <c r="AX90" i="1"/>
  <c r="AX89" i="1" s="1"/>
  <c r="AS89" i="1"/>
  <c r="AX17" i="1"/>
  <c r="AP91" i="1" l="1"/>
  <c r="AP96" i="1" l="1"/>
  <c r="AO96" i="1"/>
  <c r="AP95" i="1"/>
  <c r="AO95" i="1"/>
  <c r="AP94" i="1"/>
  <c r="AO94" i="1"/>
  <c r="AP93" i="1"/>
  <c r="AO93" i="1"/>
  <c r="AP92" i="1"/>
  <c r="AO92" i="1"/>
  <c r="AO91" i="1"/>
  <c r="AP90" i="1"/>
  <c r="AO90" i="1"/>
  <c r="AP80" i="1"/>
  <c r="AO80" i="1"/>
  <c r="AP71" i="1"/>
  <c r="AO71" i="1"/>
  <c r="AP53" i="1"/>
  <c r="AO53" i="1"/>
  <c r="AP44" i="1"/>
  <c r="AO44" i="1"/>
  <c r="AP35" i="1"/>
  <c r="AO35" i="1"/>
  <c r="AP26" i="1"/>
  <c r="AO26" i="1"/>
  <c r="AP17" i="1"/>
  <c r="AO17" i="1"/>
  <c r="AP8" i="1"/>
  <c r="AO8" i="1"/>
  <c r="AO89" i="1" l="1"/>
  <c r="AP89" i="1"/>
  <c r="AM96" i="1" l="1"/>
  <c r="AL96" i="1"/>
  <c r="AM95" i="1"/>
  <c r="AL95" i="1"/>
  <c r="AM94" i="1"/>
  <c r="AL94" i="1"/>
  <c r="AM93" i="1"/>
  <c r="AL93" i="1"/>
  <c r="AM92" i="1"/>
  <c r="AL92" i="1"/>
  <c r="AM91" i="1"/>
  <c r="AL91" i="1"/>
  <c r="AM90" i="1"/>
  <c r="AL90" i="1"/>
  <c r="AM80" i="1"/>
  <c r="AL80" i="1"/>
  <c r="AM71" i="1"/>
  <c r="AL71" i="1"/>
  <c r="AM53" i="1"/>
  <c r="AL53" i="1"/>
  <c r="AM44" i="1"/>
  <c r="AL44" i="1"/>
  <c r="AM35" i="1"/>
  <c r="AL35" i="1"/>
  <c r="AM26" i="1"/>
  <c r="AL26" i="1"/>
  <c r="AM17" i="1"/>
  <c r="AL17" i="1"/>
  <c r="AM8" i="1"/>
  <c r="AL8" i="1"/>
  <c r="AL89" i="1" l="1"/>
  <c r="AM89" i="1"/>
  <c r="AJ96" i="1"/>
  <c r="AI96" i="1"/>
  <c r="AJ95" i="1"/>
  <c r="AI95" i="1"/>
  <c r="AJ94" i="1"/>
  <c r="AI94" i="1"/>
  <c r="AJ93" i="1"/>
  <c r="AI93" i="1"/>
  <c r="AJ92" i="1"/>
  <c r="AI92" i="1"/>
  <c r="AJ91" i="1"/>
  <c r="AI91" i="1"/>
  <c r="AJ90" i="1"/>
  <c r="AI90" i="1"/>
  <c r="AJ80" i="1"/>
  <c r="AI80" i="1"/>
  <c r="AH80" i="1"/>
  <c r="AJ71" i="1"/>
  <c r="AI71" i="1"/>
  <c r="AH71" i="1"/>
  <c r="AJ53" i="1"/>
  <c r="AI53" i="1"/>
  <c r="AH53" i="1"/>
  <c r="AJ44" i="1"/>
  <c r="AI44" i="1"/>
  <c r="AH44" i="1"/>
  <c r="AJ35" i="1"/>
  <c r="AI35" i="1"/>
  <c r="AH35" i="1"/>
  <c r="AJ26" i="1"/>
  <c r="AI26" i="1"/>
  <c r="AH26" i="1"/>
  <c r="AJ17" i="1"/>
  <c r="AI17" i="1"/>
  <c r="AH17" i="1"/>
  <c r="AJ8" i="1"/>
  <c r="AI8" i="1"/>
  <c r="AH8" i="1"/>
  <c r="AK80" i="1"/>
  <c r="AK71" i="1"/>
  <c r="AK53" i="1"/>
  <c r="AK44" i="1"/>
  <c r="AK35" i="1"/>
  <c r="AK26" i="1"/>
  <c r="AK17" i="1"/>
  <c r="AK8" i="1"/>
  <c r="AG96" i="1"/>
  <c r="AF96" i="1"/>
  <c r="AG95" i="1"/>
  <c r="AF95" i="1"/>
  <c r="AG94" i="1"/>
  <c r="AF94" i="1"/>
  <c r="AG93" i="1"/>
  <c r="AF93" i="1"/>
  <c r="AG92" i="1"/>
  <c r="AF92" i="1"/>
  <c r="AF91" i="1"/>
  <c r="AG90" i="1"/>
  <c r="AF90" i="1"/>
  <c r="AG80" i="1"/>
  <c r="AF80" i="1"/>
  <c r="AE80" i="1"/>
  <c r="AG71" i="1"/>
  <c r="AF71" i="1"/>
  <c r="AE71" i="1"/>
  <c r="AG53" i="1"/>
  <c r="AF53" i="1"/>
  <c r="AE53" i="1"/>
  <c r="AG44" i="1"/>
  <c r="AF44" i="1"/>
  <c r="AE44" i="1"/>
  <c r="AG35" i="1"/>
  <c r="AF35" i="1"/>
  <c r="AE35" i="1"/>
  <c r="AG26" i="1"/>
  <c r="AF26" i="1"/>
  <c r="AE26" i="1"/>
  <c r="AG17" i="1"/>
  <c r="AF17" i="1"/>
  <c r="AE17" i="1"/>
  <c r="AG8" i="1"/>
  <c r="AF8" i="1"/>
  <c r="AE8" i="1"/>
  <c r="R96" i="1"/>
  <c r="Q96" i="1"/>
  <c r="R95" i="1"/>
  <c r="Q95" i="1"/>
  <c r="R94" i="1"/>
  <c r="Q94" i="1"/>
  <c r="R93" i="1"/>
  <c r="Q93" i="1"/>
  <c r="R92" i="1"/>
  <c r="Q92" i="1"/>
  <c r="R73" i="1"/>
  <c r="R55" i="1"/>
  <c r="R45" i="1"/>
  <c r="R37" i="1"/>
  <c r="R28" i="1"/>
  <c r="R19" i="1"/>
  <c r="R10" i="1"/>
  <c r="Q73" i="1"/>
  <c r="Q71" i="1" s="1"/>
  <c r="Q55" i="1"/>
  <c r="Q45" i="1"/>
  <c r="Q46" i="1" s="1"/>
  <c r="Q44" i="1" s="1"/>
  <c r="Q37" i="1"/>
  <c r="Q28" i="1"/>
  <c r="Q19" i="1"/>
  <c r="Q9" i="1"/>
  <c r="Q10" i="1" s="1"/>
  <c r="R72" i="1"/>
  <c r="R54" i="1"/>
  <c r="R36" i="1"/>
  <c r="R27" i="1"/>
  <c r="R18" i="1"/>
  <c r="R9" i="1"/>
  <c r="Q54" i="1"/>
  <c r="Q36" i="1"/>
  <c r="Q27" i="1"/>
  <c r="Q18" i="1"/>
  <c r="U96" i="1"/>
  <c r="T96" i="1"/>
  <c r="U95" i="1"/>
  <c r="T95" i="1"/>
  <c r="U94" i="1"/>
  <c r="T94" i="1"/>
  <c r="U93" i="1"/>
  <c r="T93" i="1"/>
  <c r="U92" i="1"/>
  <c r="T92" i="1"/>
  <c r="U73" i="1"/>
  <c r="U55" i="1"/>
  <c r="U45" i="1"/>
  <c r="U46" i="1" s="1"/>
  <c r="U37" i="1"/>
  <c r="U28" i="1"/>
  <c r="U19" i="1"/>
  <c r="U9" i="1"/>
  <c r="U10" i="1" s="1"/>
  <c r="U8" i="1" s="1"/>
  <c r="T73" i="1"/>
  <c r="T55" i="1"/>
  <c r="T45" i="1"/>
  <c r="T46" i="1" s="1"/>
  <c r="T37" i="1"/>
  <c r="T28" i="1"/>
  <c r="T19" i="1"/>
  <c r="T9" i="1"/>
  <c r="T10" i="1" s="1"/>
  <c r="T8" i="1" s="1"/>
  <c r="U72" i="1"/>
  <c r="U54" i="1"/>
  <c r="U36" i="1"/>
  <c r="U27" i="1"/>
  <c r="U18" i="1"/>
  <c r="T72" i="1"/>
  <c r="T54" i="1"/>
  <c r="T36" i="1"/>
  <c r="T27" i="1"/>
  <c r="T18" i="1"/>
  <c r="X96" i="1"/>
  <c r="W96" i="1"/>
  <c r="X95" i="1"/>
  <c r="W95" i="1"/>
  <c r="X94" i="1"/>
  <c r="W94" i="1"/>
  <c r="X93" i="1"/>
  <c r="W93" i="1"/>
  <c r="X92" i="1"/>
  <c r="W92" i="1"/>
  <c r="X81" i="1"/>
  <c r="X82" i="1" s="1"/>
  <c r="X80" i="1" s="1"/>
  <c r="X72" i="1"/>
  <c r="X73" i="1" s="1"/>
  <c r="X71" i="1" s="1"/>
  <c r="X54" i="1"/>
  <c r="X55" i="1" s="1"/>
  <c r="X53" i="1" s="1"/>
  <c r="X45" i="1"/>
  <c r="X46" i="1" s="1"/>
  <c r="X44" i="1" s="1"/>
  <c r="X36" i="1"/>
  <c r="X37" i="1" s="1"/>
  <c r="X35" i="1" s="1"/>
  <c r="X27" i="1"/>
  <c r="X28" i="1" s="1"/>
  <c r="X26" i="1" s="1"/>
  <c r="X18" i="1"/>
  <c r="X19" i="1" s="1"/>
  <c r="X17" i="1" s="1"/>
  <c r="X9" i="1"/>
  <c r="X10" i="1" s="1"/>
  <c r="X8" i="1" s="1"/>
  <c r="W72" i="1"/>
  <c r="W73" i="1" s="1"/>
  <c r="W54" i="1"/>
  <c r="W55" i="1" s="1"/>
  <c r="W53" i="1" s="1"/>
  <c r="W45" i="1"/>
  <c r="W46" i="1" s="1"/>
  <c r="W44" i="1" s="1"/>
  <c r="W36" i="1"/>
  <c r="W37" i="1" s="1"/>
  <c r="W35" i="1" s="1"/>
  <c r="W27" i="1"/>
  <c r="W28" i="1" s="1"/>
  <c r="W26" i="1" s="1"/>
  <c r="W18" i="1"/>
  <c r="W19" i="1" s="1"/>
  <c r="W17" i="1" s="1"/>
  <c r="W9" i="1"/>
  <c r="W10" i="1" s="1"/>
  <c r="W8" i="1" s="1"/>
  <c r="AA96" i="1"/>
  <c r="Z96" i="1"/>
  <c r="AA95" i="1"/>
  <c r="Z95" i="1"/>
  <c r="AA94" i="1"/>
  <c r="Z94" i="1"/>
  <c r="AA93" i="1"/>
  <c r="Z93" i="1"/>
  <c r="AA92" i="1"/>
  <c r="Z92" i="1"/>
  <c r="AA81" i="1"/>
  <c r="AA82" i="1" s="1"/>
  <c r="AA80" i="1" s="1"/>
  <c r="AA72" i="1"/>
  <c r="AA73" i="1" s="1"/>
  <c r="AA71" i="1" s="1"/>
  <c r="AA54" i="1"/>
  <c r="AA45" i="1"/>
  <c r="AA36" i="1"/>
  <c r="AA27" i="1"/>
  <c r="AA28" i="1" s="1"/>
  <c r="AA26" i="1" s="1"/>
  <c r="AA18" i="1"/>
  <c r="AA19" i="1" s="1"/>
  <c r="AA17" i="1" s="1"/>
  <c r="AA9" i="1"/>
  <c r="Z72" i="1"/>
  <c r="Z73" i="1" s="1"/>
  <c r="Z54" i="1"/>
  <c r="Z55" i="1" s="1"/>
  <c r="Z53" i="1" s="1"/>
  <c r="Z45" i="1"/>
  <c r="Z46" i="1" s="1"/>
  <c r="Z44" i="1" s="1"/>
  <c r="Z36" i="1"/>
  <c r="Z37" i="1" s="1"/>
  <c r="Z35" i="1" s="1"/>
  <c r="Z27" i="1"/>
  <c r="Z28" i="1" s="1"/>
  <c r="Z26" i="1" s="1"/>
  <c r="Z18" i="1"/>
  <c r="Z19" i="1" s="1"/>
  <c r="Z17" i="1" s="1"/>
  <c r="Z9" i="1"/>
  <c r="Z10" i="1" s="1"/>
  <c r="Z8" i="1" s="1"/>
  <c r="Z81" i="1"/>
  <c r="Z80" i="1" s="1"/>
  <c r="AC96" i="1"/>
  <c r="AC95" i="1"/>
  <c r="AC94" i="1"/>
  <c r="AC93" i="1"/>
  <c r="AC92" i="1"/>
  <c r="AC91" i="1"/>
  <c r="AC90" i="1"/>
  <c r="AD96" i="1"/>
  <c r="AD95" i="1"/>
  <c r="AD94" i="1"/>
  <c r="AD93" i="1"/>
  <c r="AD92" i="1"/>
  <c r="AD82" i="1"/>
  <c r="AD91" i="1" s="1"/>
  <c r="AD90" i="1"/>
  <c r="P96" i="1"/>
  <c r="O96" i="1"/>
  <c r="N96" i="1"/>
  <c r="M96" i="1"/>
  <c r="L96" i="1"/>
  <c r="K96" i="1"/>
  <c r="J96" i="1"/>
  <c r="I10" i="1"/>
  <c r="I96" i="1" s="1"/>
  <c r="H96" i="1"/>
  <c r="G96" i="1"/>
  <c r="F10" i="1"/>
  <c r="F96" i="1" s="1"/>
  <c r="E96" i="1"/>
  <c r="P95" i="1"/>
  <c r="O9" i="1"/>
  <c r="O95" i="1" s="1"/>
  <c r="N9" i="1"/>
  <c r="N95" i="1" s="1"/>
  <c r="M95" i="1"/>
  <c r="L95" i="1"/>
  <c r="K95" i="1"/>
  <c r="J95" i="1"/>
  <c r="I9" i="1"/>
  <c r="I95" i="1" s="1"/>
  <c r="H95" i="1"/>
  <c r="G95" i="1"/>
  <c r="F9" i="1"/>
  <c r="F95" i="1" s="1"/>
  <c r="E95" i="1"/>
  <c r="AD71" i="1"/>
  <c r="AD35" i="1"/>
  <c r="AD8" i="1"/>
  <c r="AC71" i="1"/>
  <c r="AC35" i="1"/>
  <c r="AC8" i="1"/>
  <c r="AB71" i="1"/>
  <c r="AB35" i="1"/>
  <c r="AB8" i="1"/>
  <c r="Y71" i="1"/>
  <c r="Y35" i="1"/>
  <c r="Y8" i="1"/>
  <c r="V71" i="1"/>
  <c r="V35" i="1"/>
  <c r="V8" i="1"/>
  <c r="S71" i="1"/>
  <c r="S35" i="1"/>
  <c r="S8" i="1"/>
  <c r="P71" i="1"/>
  <c r="P35" i="1"/>
  <c r="P8" i="1"/>
  <c r="O71" i="1"/>
  <c r="O35" i="1"/>
  <c r="N71" i="1"/>
  <c r="N35" i="1"/>
  <c r="M71" i="1"/>
  <c r="M35" i="1"/>
  <c r="M8" i="1"/>
  <c r="L71" i="1"/>
  <c r="L35" i="1"/>
  <c r="L8" i="1"/>
  <c r="K71" i="1"/>
  <c r="K35" i="1"/>
  <c r="K8" i="1"/>
  <c r="J71" i="1"/>
  <c r="J35" i="1"/>
  <c r="J8" i="1"/>
  <c r="I71" i="1"/>
  <c r="I35" i="1"/>
  <c r="H71" i="1"/>
  <c r="H35" i="1"/>
  <c r="H8" i="1"/>
  <c r="G71" i="1"/>
  <c r="G35" i="1"/>
  <c r="G8" i="1"/>
  <c r="F71" i="1"/>
  <c r="F35" i="1"/>
  <c r="E71" i="1"/>
  <c r="E35" i="1"/>
  <c r="E8" i="1"/>
  <c r="P93" i="1"/>
  <c r="O93" i="1"/>
  <c r="N93" i="1"/>
  <c r="M93" i="1"/>
  <c r="L93" i="1"/>
  <c r="K93" i="1"/>
  <c r="J93" i="1"/>
  <c r="I93" i="1"/>
  <c r="H93" i="1"/>
  <c r="G93" i="1"/>
  <c r="F93" i="1"/>
  <c r="E93" i="1"/>
  <c r="P92" i="1"/>
  <c r="O92" i="1"/>
  <c r="N92" i="1"/>
  <c r="M92" i="1"/>
  <c r="L92" i="1"/>
  <c r="K92" i="1"/>
  <c r="J92" i="1"/>
  <c r="I92" i="1"/>
  <c r="H92" i="1"/>
  <c r="G92" i="1"/>
  <c r="F92" i="1"/>
  <c r="E92" i="1"/>
  <c r="P91" i="1"/>
  <c r="O91" i="1"/>
  <c r="N91" i="1"/>
  <c r="M91" i="1"/>
  <c r="L91" i="1"/>
  <c r="K91" i="1"/>
  <c r="J91" i="1"/>
  <c r="I91" i="1"/>
  <c r="H91" i="1"/>
  <c r="G91" i="1"/>
  <c r="F91" i="1"/>
  <c r="E91" i="1"/>
  <c r="P90" i="1"/>
  <c r="P89" i="1" s="1"/>
  <c r="O90" i="1"/>
  <c r="O89" i="1" s="1"/>
  <c r="N90" i="1"/>
  <c r="N89" i="1" s="1"/>
  <c r="M90" i="1"/>
  <c r="M89" i="1" s="1"/>
  <c r="L90" i="1"/>
  <c r="L89" i="1" s="1"/>
  <c r="K90" i="1"/>
  <c r="K89" i="1" s="1"/>
  <c r="J90" i="1"/>
  <c r="J89" i="1" s="1"/>
  <c r="I90" i="1"/>
  <c r="I89" i="1" s="1"/>
  <c r="H90" i="1"/>
  <c r="H89" i="1" s="1"/>
  <c r="G90" i="1"/>
  <c r="G89" i="1" s="1"/>
  <c r="F90" i="1"/>
  <c r="F89" i="1" s="1"/>
  <c r="E90" i="1"/>
  <c r="E89" i="1" s="1"/>
  <c r="AC80" i="1"/>
  <c r="AB80" i="1"/>
  <c r="Y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D53" i="1"/>
  <c r="AC53" i="1"/>
  <c r="AB53" i="1"/>
  <c r="Y53" i="1"/>
  <c r="V53" i="1"/>
  <c r="S53" i="1"/>
  <c r="P53" i="1"/>
  <c r="O53" i="1"/>
  <c r="N53" i="1"/>
  <c r="M53" i="1"/>
  <c r="L53" i="1"/>
  <c r="K53" i="1"/>
  <c r="J53" i="1"/>
  <c r="I53" i="1"/>
  <c r="H53" i="1"/>
  <c r="G53" i="1"/>
  <c r="F53" i="1"/>
  <c r="E53" i="1"/>
  <c r="AD44" i="1"/>
  <c r="AC44" i="1"/>
  <c r="AB44" i="1"/>
  <c r="Y44" i="1"/>
  <c r="V44" i="1"/>
  <c r="S44" i="1"/>
  <c r="P44" i="1"/>
  <c r="AD26" i="1"/>
  <c r="AC26" i="1"/>
  <c r="AB26" i="1"/>
  <c r="AD17" i="1"/>
  <c r="AC17" i="1"/>
  <c r="AB17" i="1"/>
  <c r="Y26" i="1"/>
  <c r="Y17" i="1"/>
  <c r="V26" i="1"/>
  <c r="V17" i="1"/>
  <c r="S26" i="1"/>
  <c r="S17" i="1"/>
  <c r="F26" i="1"/>
  <c r="G26" i="1"/>
  <c r="H26" i="1"/>
  <c r="I26" i="1"/>
  <c r="J26" i="1"/>
  <c r="K26" i="1"/>
  <c r="L26" i="1"/>
  <c r="M26" i="1"/>
  <c r="N26" i="1"/>
  <c r="O26" i="1"/>
  <c r="P26" i="1"/>
  <c r="E26" i="1"/>
  <c r="F17" i="1"/>
  <c r="G17" i="1"/>
  <c r="H17" i="1"/>
  <c r="I17" i="1"/>
  <c r="J17" i="1"/>
  <c r="K17" i="1"/>
  <c r="L17" i="1"/>
  <c r="M17" i="1"/>
  <c r="N17" i="1"/>
  <c r="O17" i="1"/>
  <c r="P17" i="1"/>
  <c r="E17" i="1"/>
  <c r="T17" i="1" l="1"/>
  <c r="Q53" i="1"/>
  <c r="R17" i="1"/>
  <c r="Q26" i="1"/>
  <c r="R26" i="1"/>
  <c r="T26" i="1"/>
  <c r="T71" i="1"/>
  <c r="T35" i="1"/>
  <c r="U17" i="1"/>
  <c r="R53" i="1"/>
  <c r="J94" i="1"/>
  <c r="R71" i="1"/>
  <c r="R8" i="1"/>
  <c r="U26" i="1"/>
  <c r="U53" i="1"/>
  <c r="Q35" i="1"/>
  <c r="U35" i="1"/>
  <c r="Q17" i="1"/>
  <c r="E94" i="1"/>
  <c r="L94" i="1"/>
  <c r="U71" i="1"/>
  <c r="P94" i="1"/>
  <c r="R46" i="1"/>
  <c r="R44" i="1" s="1"/>
  <c r="AJ89" i="1"/>
  <c r="AD80" i="1"/>
  <c r="G94" i="1"/>
  <c r="AA55" i="1"/>
  <c r="AA53" i="1" s="1"/>
  <c r="H94" i="1"/>
  <c r="K94" i="1"/>
  <c r="T53" i="1"/>
  <c r="AC89" i="1"/>
  <c r="M94" i="1"/>
  <c r="AA90" i="1"/>
  <c r="AA37" i="1"/>
  <c r="AA35" i="1" s="1"/>
  <c r="R35" i="1"/>
  <c r="AI89" i="1"/>
  <c r="AA10" i="1"/>
  <c r="AA8" i="1" s="1"/>
  <c r="AA46" i="1"/>
  <c r="AF89" i="1"/>
  <c r="W90" i="1"/>
  <c r="T90" i="1"/>
  <c r="U90" i="1"/>
  <c r="Q90" i="1"/>
  <c r="R90" i="1"/>
  <c r="Z90" i="1"/>
  <c r="X90" i="1"/>
  <c r="X91" i="1"/>
  <c r="AD89" i="1"/>
  <c r="AG91" i="1"/>
  <c r="AG89" i="1" s="1"/>
  <c r="W91" i="1"/>
  <c r="W71" i="1"/>
  <c r="T44" i="1"/>
  <c r="T91" i="1"/>
  <c r="U91" i="1"/>
  <c r="U44" i="1"/>
  <c r="Q91" i="1"/>
  <c r="Q8" i="1"/>
  <c r="Z71" i="1"/>
  <c r="Z91" i="1"/>
  <c r="F8" i="1"/>
  <c r="F94" i="1" s="1"/>
  <c r="I8" i="1"/>
  <c r="I94" i="1" s="1"/>
  <c r="N8" i="1"/>
  <c r="N94" i="1" s="1"/>
  <c r="O8" i="1"/>
  <c r="O94" i="1" s="1"/>
  <c r="R91" i="1" l="1"/>
  <c r="R89" i="1" s="1"/>
  <c r="Q89" i="1"/>
  <c r="AA91" i="1"/>
  <c r="AA89" i="1" s="1"/>
  <c r="W89" i="1"/>
  <c r="Z89" i="1"/>
  <c r="AA44" i="1"/>
  <c r="U89" i="1"/>
  <c r="T89" i="1"/>
  <c r="X89" i="1"/>
</calcChain>
</file>

<file path=xl/sharedStrings.xml><?xml version="1.0" encoding="utf-8"?>
<sst xmlns="http://schemas.openxmlformats.org/spreadsheetml/2006/main" count="202" uniqueCount="56">
  <si>
    <t xml:space="preserve"> </t>
  </si>
  <si>
    <t>College of Business</t>
  </si>
  <si>
    <t>College of Design</t>
  </si>
  <si>
    <t>College of Engineering</t>
  </si>
  <si>
    <t>College of Liberal Arts and Sciences</t>
  </si>
  <si>
    <t>College of Veterinary Medicine</t>
  </si>
  <si>
    <t>Library</t>
  </si>
  <si>
    <t>Count</t>
  </si>
  <si>
    <t xml:space="preserve">Count </t>
  </si>
  <si>
    <t>––––2001––––</t>
  </si>
  <si>
    <t>––––2002––––</t>
  </si>
  <si>
    <t xml:space="preserve"> October Payroll </t>
  </si>
  <si>
    <t xml:space="preserve">  FTE</t>
  </si>
  <si>
    <t>––––2003––––</t>
  </si>
  <si>
    <t>––––2004––––</t>
  </si>
  <si>
    <t>Merit</t>
  </si>
  <si>
    <t>COLLEGE AND EMPLOYEE TYPE</t>
  </si>
  <si>
    <t>Tenured &amp; Tenure Eligible Faculty</t>
  </si>
  <si>
    <t>Professional &amp; Scientific</t>
  </si>
  <si>
    <t>Contract</t>
  </si>
  <si>
    <t>Graduate Assistants</t>
  </si>
  <si>
    <t>Post Doctoral Research Associates</t>
  </si>
  <si>
    <t>––––2006––––</t>
  </si>
  <si>
    <t>––––2007––––</t>
  </si>
  <si>
    <t>College of Agriculture &amp; Life Sciences</t>
  </si>
  <si>
    <t>––––2008––––</t>
  </si>
  <si>
    <t>––––2009––––</t>
  </si>
  <si>
    <t>College of Human Sciences</t>
  </si>
  <si>
    <t>––––2010––––</t>
  </si>
  <si>
    <t>––––2011––––</t>
  </si>
  <si>
    <t>––––2012––––</t>
  </si>
  <si>
    <t>Note: the methodology for counting employees changed in 2013. Comaprisons between years should not be made based on these data. See footnotes on the next page for more detail.</t>
  </si>
  <si>
    <t>Note: the methodology for counting employees changed in 2013. Comaprisons between years should not be made based on these data. See footnotes for more detail.</t>
  </si>
  <si>
    <t xml:space="preserve"> Continued</t>
  </si>
  <si>
    <t xml:space="preserve"> Office of Institutional Research</t>
  </si>
  <si>
    <r>
      <t xml:space="preserve">    </t>
    </r>
    <r>
      <rPr>
        <b/>
        <sz val="9"/>
        <rFont val="Berkeley"/>
      </rPr>
      <t>For 2013, FTE is based on the fraction of each person's annual appointment  in their home department and includes all employees whether or not they</t>
    </r>
  </si>
  <si>
    <r>
      <t xml:space="preserve">    </t>
    </r>
    <r>
      <rPr>
        <b/>
        <sz val="9"/>
        <rFont val="Berkeley"/>
      </rPr>
      <t>were paid in October. This matches data found in the e-Data warehouse.</t>
    </r>
  </si>
  <si>
    <r>
      <t xml:space="preserve">    </t>
    </r>
    <r>
      <rPr>
        <b/>
        <sz val="9"/>
        <rFont val="Berkeley"/>
      </rPr>
      <t>For more information on headcount and FTE calculations, contact Sandra Gahn in the Office of Institutional Research.</t>
    </r>
  </si>
  <si>
    <r>
      <t xml:space="preserve"> </t>
    </r>
    <r>
      <rPr>
        <vertAlign val="superscript"/>
        <sz val="11"/>
        <rFont val="Univers 55"/>
      </rPr>
      <t>4</t>
    </r>
    <r>
      <rPr>
        <sz val="7"/>
        <rFont val="Univers 55"/>
        <family val="2"/>
      </rPr>
      <t xml:space="preserve"> </t>
    </r>
    <r>
      <rPr>
        <b/>
        <sz val="9"/>
        <rFont val="Berkeley"/>
      </rPr>
      <t>These employees are visiting scientists.</t>
    </r>
  </si>
  <si>
    <t xml:space="preserve">  Continued on Next Page</t>
  </si>
  <si>
    <t>Non-Tenure Eligible Faculty</t>
  </si>
  <si>
    <t>COUNT</t>
  </si>
  <si>
    <r>
      <t>Employee Headcount and FTE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by College</t>
    </r>
    <r>
      <rPr>
        <vertAlign val="superscript"/>
        <sz val="14"/>
        <rFont val="Univers 55"/>
      </rPr>
      <t>2, 3</t>
    </r>
  </si>
  <si>
    <t>––––2005––––</t>
  </si>
  <si>
    <r>
      <rPr>
        <b/>
        <sz val="9"/>
        <color theme="0"/>
        <rFont val="Univers 55"/>
      </rPr>
      <t>AAAA</t>
    </r>
    <r>
      <rPr>
        <b/>
        <sz val="9"/>
        <rFont val="Univers 55"/>
        <family val="2"/>
      </rPr>
      <t>2013</t>
    </r>
  </si>
  <si>
    <r>
      <rPr>
        <b/>
        <sz val="9"/>
        <color theme="0"/>
        <rFont val="Univers 55"/>
      </rPr>
      <t xml:space="preserve">      –––– ––– </t>
    </r>
    <r>
      <rPr>
        <b/>
        <sz val="9"/>
        <rFont val="Univers 55"/>
      </rPr>
      <t>2014</t>
    </r>
  </si>
  <si>
    <r>
      <t>Total Academic Units</t>
    </r>
    <r>
      <rPr>
        <vertAlign val="superscript"/>
        <sz val="9"/>
        <rFont val="Univers 45 Light"/>
      </rPr>
      <t>2</t>
    </r>
  </si>
  <si>
    <r>
      <t xml:space="preserve"> </t>
    </r>
    <r>
      <rPr>
        <vertAlign val="superscript"/>
        <sz val="11"/>
        <rFont val="ITC Berkeley Oldstyle Std"/>
        <family val="1"/>
      </rPr>
      <t>1</t>
    </r>
    <r>
      <rPr>
        <sz val="7"/>
        <rFont val="ITC Berkeley Oldstyle Std"/>
        <family val="1"/>
      </rPr>
      <t xml:space="preserve"> </t>
    </r>
    <r>
      <rPr>
        <sz val="9"/>
        <rFont val="ITC Berkeley Oldstyle Std"/>
        <family val="1"/>
      </rPr>
      <t>Full-Time Equivilent (FTE) is based on the appointment fraction of each employee.</t>
    </r>
  </si>
  <si>
    <r>
      <rPr>
        <vertAlign val="superscript"/>
        <sz val="11"/>
        <rFont val="ITC Berkeley Oldstyle Std"/>
        <family val="1"/>
      </rPr>
      <t xml:space="preserve"> 3</t>
    </r>
    <r>
      <rPr>
        <sz val="7"/>
        <rFont val="ITC Berkeley Oldstyle Std"/>
        <family val="1"/>
      </rPr>
      <t xml:space="preserve"> </t>
    </r>
    <r>
      <rPr>
        <sz val="9"/>
        <rFont val="ITC Berkeley Oldstyle Std"/>
        <family val="1"/>
      </rPr>
      <t>Beginning in 2013, counts include all faculty and other employees in the college where they work (home department - where their primary office is located).</t>
    </r>
  </si>
  <si>
    <r>
      <rPr>
        <vertAlign val="superscript"/>
        <sz val="11"/>
        <rFont val="ITC Berkeley Oldstyle Std"/>
        <family val="1"/>
      </rPr>
      <t xml:space="preserve"> 2</t>
    </r>
    <r>
      <rPr>
        <sz val="7"/>
        <rFont val="ITC Berkeley Oldstyle Std"/>
        <family val="1"/>
      </rPr>
      <t xml:space="preserve"> </t>
    </r>
    <r>
      <rPr>
        <sz val="9"/>
        <rFont val="ITC Berkeley Oldstyle Std"/>
        <family val="1"/>
      </rPr>
      <t>FTE and headcount reported elsewhere in the Fact Book does not match the total here because this page excludes non-college units</t>
    </r>
  </si>
  <si>
    <r>
      <rPr>
        <b/>
        <sz val="10"/>
        <color theme="0" tint="-4.9989318521683403E-2"/>
        <rFont val="Univers LT Std 45 Light"/>
        <family val="2"/>
      </rPr>
      <t xml:space="preserve">      –––––</t>
    </r>
    <r>
      <rPr>
        <b/>
        <sz val="10"/>
        <rFont val="Univers LT Std 45 Light"/>
        <family val="2"/>
      </rPr>
      <t>2015</t>
    </r>
  </si>
  <si>
    <r>
      <rPr>
        <b/>
        <sz val="10"/>
        <color theme="0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2016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</si>
  <si>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  ––––– </t>
    </r>
    <r>
      <rPr>
        <b/>
        <sz val="10"/>
        <rFont val="Univers LT Std 45 Light"/>
        <family val="2"/>
      </rPr>
      <t>2017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</si>
  <si>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</t>
    </r>
    <r>
      <rPr>
        <b/>
        <sz val="10"/>
        <color theme="0"/>
        <rFont val="Univers LT Std 45 Light"/>
        <family val="2"/>
      </rPr>
      <t xml:space="preserve">  ––––– </t>
    </r>
    <r>
      <rPr>
        <b/>
        <sz val="10"/>
        <rFont val="Univers LT Std 45 Light"/>
        <family val="2"/>
      </rPr>
      <t>2018</t>
    </r>
  </si>
  <si>
    <t xml:space="preserve">   (e.g., President, Extension, Ames Lab, etc.) and Non-Academic Rank Faculty</t>
  </si>
  <si>
    <t xml:space="preserve"> Last Updated 12/17/2018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</si>
</sst>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,???"/>
    <numFmt numFmtId="165" formatCode="????"/>
    <numFmt numFmtId="166" formatCode="?,??0"/>
    <numFmt numFmtId="167" formatCode="?,??0.00"/>
    <numFmt numFmtId="168" formatCode="#,##0.0"/>
  </numFmts>
  <fonts count="57">
    <font>
      <sz val="10"/>
      <name val="Univers 55"/>
    </font>
    <font>
      <sz val="11"/>
      <color theme="1"/>
      <name val="Calibri"/>
      <family val="2"/>
      <scheme val="minor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b/>
      <sz val="7"/>
      <name val="Univers 55"/>
      <family val="2"/>
    </font>
    <font>
      <sz val="7"/>
      <name val="Univers 55"/>
      <family val="2"/>
    </font>
    <font>
      <vertAlign val="superscript"/>
      <sz val="9"/>
      <name val="Univers 55"/>
      <family val="2"/>
    </font>
    <font>
      <b/>
      <sz val="10"/>
      <name val="Univers 55"/>
      <family val="2"/>
    </font>
    <font>
      <b/>
      <sz val="7"/>
      <name val="Univers 65 Bold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Univers 55"/>
      <family val="2"/>
    </font>
    <font>
      <b/>
      <sz val="8"/>
      <name val="Univers 55"/>
      <family val="2"/>
    </font>
    <font>
      <vertAlign val="superscript"/>
      <sz val="11"/>
      <name val="Univers 55"/>
    </font>
    <font>
      <b/>
      <sz val="9"/>
      <name val="Berkeley"/>
    </font>
    <font>
      <b/>
      <sz val="9"/>
      <name val="Univers 45 Light"/>
      <family val="2"/>
    </font>
    <font>
      <vertAlign val="superscript"/>
      <sz val="14"/>
      <name val="Univers 55"/>
    </font>
    <font>
      <sz val="8"/>
      <name val="Univers 55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9"/>
      <name val="Univers 55"/>
      <family val="2"/>
    </font>
    <font>
      <b/>
      <sz val="8"/>
      <name val="Univers 65 Bold"/>
    </font>
    <font>
      <sz val="8"/>
      <name val="Univers 65 Bold"/>
    </font>
    <font>
      <sz val="8"/>
      <name val="Univers 55"/>
    </font>
    <font>
      <i/>
      <sz val="9"/>
      <name val="Berkeley"/>
      <family val="1"/>
    </font>
    <font>
      <b/>
      <sz val="9"/>
      <name val="Univers 55"/>
    </font>
    <font>
      <b/>
      <sz val="9"/>
      <color theme="0"/>
      <name val="Univers 55"/>
    </font>
    <font>
      <sz val="9"/>
      <name val="Berkeley Italic"/>
    </font>
    <font>
      <vertAlign val="superscript"/>
      <sz val="9"/>
      <name val="Univers 45 Light"/>
    </font>
    <font>
      <vertAlign val="superscript"/>
      <sz val="9"/>
      <name val="ITC Berkeley Oldstyle Std"/>
      <family val="1"/>
    </font>
    <font>
      <vertAlign val="superscript"/>
      <sz val="11"/>
      <name val="ITC Berkeley Oldstyle Std"/>
      <family val="1"/>
    </font>
    <font>
      <sz val="7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b/>
      <sz val="10"/>
      <name val="Univers LT Std 45 Light"/>
      <family val="2"/>
    </font>
    <font>
      <b/>
      <sz val="10"/>
      <color theme="0" tint="-4.9989318521683403E-2"/>
      <name val="Univers LT Std 45 Light"/>
      <family val="2"/>
    </font>
    <font>
      <b/>
      <sz val="10"/>
      <color theme="0"/>
      <name val="Univers LT Std 45 Light"/>
      <family val="2"/>
    </font>
    <font>
      <sz val="10"/>
      <name val="Univers LT Std 45 Ligh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5" applyNumberFormat="0" applyAlignment="0" applyProtection="0"/>
    <xf numFmtId="0" fontId="21" fillId="6" borderId="6" applyNumberFormat="0" applyAlignment="0" applyProtection="0"/>
    <xf numFmtId="0" fontId="22" fillId="6" borderId="5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>
      <alignment vertical="top"/>
    </xf>
    <xf numFmtId="0" fontId="1" fillId="8" borderId="9" applyNumberFormat="0" applyFont="0" applyAlignment="0" applyProtection="0"/>
  </cellStyleXfs>
  <cellXfs count="148"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/>
    <xf numFmtId="0" fontId="11" fillId="0" borderId="0" xfId="0" applyFont="1" applyFill="1"/>
    <xf numFmtId="0" fontId="4" fillId="0" borderId="11" xfId="0" applyFont="1" applyFill="1" applyBorder="1" applyAlignment="1"/>
    <xf numFmtId="0" fontId="7" fillId="0" borderId="11" xfId="0" applyFont="1" applyFill="1" applyBorder="1" applyAlignment="1"/>
    <xf numFmtId="0" fontId="2" fillId="0" borderId="11" xfId="0" applyFont="1" applyFill="1" applyBorder="1" applyAlignment="1"/>
    <xf numFmtId="0" fontId="8" fillId="0" borderId="12" xfId="0" applyFont="1" applyFill="1" applyBorder="1" applyAlignment="1"/>
    <xf numFmtId="0" fontId="0" fillId="0" borderId="0" xfId="0" applyFill="1" applyAlignment="1">
      <alignment vertical="top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66" fontId="9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/>
    <xf numFmtId="166" fontId="9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9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/>
    </xf>
    <xf numFmtId="166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6" fontId="30" fillId="0" borderId="11" xfId="0" applyNumberFormat="1" applyFont="1" applyFill="1" applyBorder="1" applyAlignment="1">
      <alignment vertical="center" wrapText="1"/>
    </xf>
    <xf numFmtId="166" fontId="8" fillId="0" borderId="11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right"/>
    </xf>
    <xf numFmtId="166" fontId="8" fillId="0" borderId="12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8" fontId="0" fillId="0" borderId="0" xfId="0" applyNumberFormat="1" applyFill="1"/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6" fillId="0" borderId="0" xfId="0" applyFont="1" applyFill="1" applyAlignment="1">
      <alignment vertical="center"/>
    </xf>
    <xf numFmtId="166" fontId="36" fillId="0" borderId="0" xfId="0" applyNumberFormat="1" applyFont="1" applyFill="1" applyAlignment="1">
      <alignment horizontal="right" vertical="center"/>
    </xf>
    <xf numFmtId="166" fontId="36" fillId="0" borderId="0" xfId="0" applyNumberFormat="1" applyFont="1" applyFill="1" applyBorder="1" applyAlignment="1">
      <alignment horizontal="right" vertical="center"/>
    </xf>
    <xf numFmtId="166" fontId="36" fillId="0" borderId="11" xfId="0" applyNumberFormat="1" applyFont="1" applyFill="1" applyBorder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/>
    </xf>
    <xf numFmtId="166" fontId="36" fillId="33" borderId="0" xfId="0" applyNumberFormat="1" applyFont="1" applyFill="1" applyAlignment="1">
      <alignment horizontal="right" vertical="center"/>
    </xf>
    <xf numFmtId="167" fontId="36" fillId="33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167" fontId="38" fillId="0" borderId="0" xfId="0" applyNumberFormat="1" applyFont="1" applyFill="1" applyAlignment="1">
      <alignment vertical="center"/>
    </xf>
    <xf numFmtId="167" fontId="38" fillId="33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6" fontId="31" fillId="33" borderId="0" xfId="0" applyNumberFormat="1" applyFont="1" applyFill="1" applyAlignment="1">
      <alignment horizontal="right"/>
    </xf>
    <xf numFmtId="167" fontId="31" fillId="33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0" fontId="37" fillId="0" borderId="0" xfId="0" applyFont="1" applyFill="1" applyAlignment="1"/>
    <xf numFmtId="166" fontId="31" fillId="33" borderId="0" xfId="0" applyNumberFormat="1" applyFont="1" applyFill="1" applyAlignment="1">
      <alignment horizontal="right" vertical="center"/>
    </xf>
    <xf numFmtId="167" fontId="31" fillId="33" borderId="0" xfId="0" applyNumberFormat="1" applyFont="1" applyFill="1" applyAlignment="1">
      <alignment horizontal="right" vertical="center"/>
    </xf>
    <xf numFmtId="166" fontId="31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Fill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left"/>
    </xf>
    <xf numFmtId="165" fontId="39" fillId="0" borderId="0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167" fontId="31" fillId="33" borderId="0" xfId="0" applyNumberFormat="1" applyFont="1" applyFill="1" applyAlignment="1">
      <alignment horizontal="right"/>
    </xf>
    <xf numFmtId="167" fontId="31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/>
    <xf numFmtId="0" fontId="36" fillId="0" borderId="0" xfId="0" applyFont="1" applyFill="1" applyBorder="1" applyAlignment="1"/>
    <xf numFmtId="0" fontId="42" fillId="0" borderId="0" xfId="0" applyFont="1" applyFill="1"/>
    <xf numFmtId="167" fontId="31" fillId="33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/>
    <xf numFmtId="164" fontId="42" fillId="33" borderId="1" xfId="0" applyNumberFormat="1" applyFont="1" applyFill="1" applyBorder="1" applyAlignment="1">
      <alignment horizontal="center" vertical="center"/>
    </xf>
    <xf numFmtId="167" fontId="42" fillId="33" borderId="1" xfId="0" applyNumberFormat="1" applyFont="1" applyFill="1" applyBorder="1" applyAlignment="1">
      <alignment horizontal="center" vertical="center"/>
    </xf>
    <xf numFmtId="164" fontId="42" fillId="0" borderId="1" xfId="0" applyNumberFormat="1" applyFont="1" applyFill="1" applyBorder="1" applyAlignment="1">
      <alignment horizontal="center" vertical="center"/>
    </xf>
    <xf numFmtId="167" fontId="42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/>
    <xf numFmtId="167" fontId="36" fillId="33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Alignment="1">
      <alignment horizontal="right" vertical="center"/>
    </xf>
    <xf numFmtId="0" fontId="41" fillId="0" borderId="0" xfId="0" applyFont="1" applyFill="1" applyBorder="1" applyAlignment="1"/>
    <xf numFmtId="0" fontId="36" fillId="0" borderId="0" xfId="0" applyFont="1" applyFill="1" applyAlignment="1"/>
    <xf numFmtId="0" fontId="52" fillId="0" borderId="0" xfId="0" applyFont="1" applyFill="1"/>
    <xf numFmtId="0" fontId="48" fillId="0" borderId="0" xfId="0" applyFont="1" applyFill="1" applyAlignment="1"/>
    <xf numFmtId="0" fontId="48" fillId="0" borderId="0" xfId="0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left"/>
    </xf>
    <xf numFmtId="0" fontId="31" fillId="0" borderId="1" xfId="0" applyFont="1" applyFill="1" applyBorder="1" applyAlignment="1">
      <alignment horizontal="right"/>
    </xf>
    <xf numFmtId="0" fontId="31" fillId="33" borderId="1" xfId="0" applyFont="1" applyFill="1" applyBorder="1" applyAlignment="1">
      <alignment horizontal="right"/>
    </xf>
    <xf numFmtId="0" fontId="31" fillId="0" borderId="1" xfId="0" applyFont="1" applyFill="1" applyBorder="1" applyAlignment="1"/>
    <xf numFmtId="4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165" fontId="44" fillId="0" borderId="0" xfId="0" applyNumberFormat="1" applyFont="1" applyFill="1" applyBorder="1" applyAlignment="1">
      <alignment horizontal="center"/>
    </xf>
    <xf numFmtId="165" fontId="39" fillId="0" borderId="0" xfId="0" applyNumberFormat="1" applyFont="1" applyFill="1" applyBorder="1" applyAlignment="1">
      <alignment horizontal="center"/>
    </xf>
    <xf numFmtId="165" fontId="4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/>
    </xf>
    <xf numFmtId="165" fontId="53" fillId="0" borderId="0" xfId="0" applyNumberFormat="1" applyFont="1" applyFill="1" applyBorder="1" applyAlignment="1">
      <alignment horizontal="left"/>
    </xf>
    <xf numFmtId="165" fontId="53" fillId="33" borderId="0" xfId="0" applyNumberFormat="1" applyFont="1" applyFill="1" applyBorder="1" applyAlignment="1">
      <alignment horizontal="left"/>
    </xf>
    <xf numFmtId="0" fontId="34" fillId="0" borderId="0" xfId="0" applyFont="1" applyFill="1" applyAlignment="1">
      <alignment horizontal="left" vertical="center"/>
    </xf>
    <xf numFmtId="166" fontId="3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 vertical="center"/>
    </xf>
    <xf numFmtId="0" fontId="31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/>
    </xf>
    <xf numFmtId="166" fontId="36" fillId="0" borderId="0" xfId="0" applyNumberFormat="1" applyFont="1" applyFill="1" applyBorder="1" applyAlignment="1">
      <alignment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55625</xdr:rowOff>
    </xdr:from>
    <xdr:to>
      <xdr:col>60</xdr:col>
      <xdr:colOff>1758</xdr:colOff>
      <xdr:row>64</xdr:row>
      <xdr:rowOff>5971</xdr:rowOff>
    </xdr:to>
    <xdr:grpSp>
      <xdr:nvGrpSpPr>
        <xdr:cNvPr id="3" name="Group 2"/>
        <xdr:cNvGrpSpPr/>
      </xdr:nvGrpSpPr>
      <xdr:grpSpPr>
        <a:xfrm>
          <a:off x="0" y="10107675"/>
          <a:ext cx="8288508" cy="140846"/>
          <a:chOff x="0" y="9932317"/>
          <a:chExt cx="8046720" cy="140846"/>
        </a:xfrm>
      </xdr:grpSpPr>
      <xdr:pic>
        <xdr:nvPicPr>
          <xdr:cNvPr id="13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008" y="9932317"/>
            <a:ext cx="1263248" cy="97318"/>
          </a:xfrm>
          <a:prstGeom prst="rect">
            <a:avLst/>
          </a:prstGeom>
          <a:noFill/>
        </xdr:spPr>
      </xdr:pic>
      <xdr:sp macro="" textlink="">
        <xdr:nvSpPr>
          <xdr:cNvPr id="14" name="Line 28"/>
          <xdr:cNvSpPr>
            <a:spLocks noChangeShapeType="1"/>
          </xdr:cNvSpPr>
        </xdr:nvSpPr>
        <xdr:spPr bwMode="auto">
          <a:xfrm>
            <a:off x="0" y="10073163"/>
            <a:ext cx="804672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0</xdr:row>
      <xdr:rowOff>58616</xdr:rowOff>
    </xdr:from>
    <xdr:to>
      <xdr:col>60</xdr:col>
      <xdr:colOff>1758</xdr:colOff>
      <xdr:row>1</xdr:row>
      <xdr:rowOff>8962</xdr:rowOff>
    </xdr:to>
    <xdr:grpSp>
      <xdr:nvGrpSpPr>
        <xdr:cNvPr id="15" name="Group 14"/>
        <xdr:cNvGrpSpPr/>
      </xdr:nvGrpSpPr>
      <xdr:grpSpPr>
        <a:xfrm>
          <a:off x="0" y="58616"/>
          <a:ext cx="8288508" cy="140846"/>
          <a:chOff x="0" y="9932317"/>
          <a:chExt cx="8046720" cy="140846"/>
        </a:xfrm>
      </xdr:grpSpPr>
      <xdr:pic>
        <xdr:nvPicPr>
          <xdr:cNvPr id="16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008" y="9932317"/>
            <a:ext cx="1263248" cy="97318"/>
          </a:xfrm>
          <a:prstGeom prst="rect">
            <a:avLst/>
          </a:prstGeom>
          <a:noFill/>
        </xdr:spPr>
      </xdr:pic>
      <xdr:sp macro="" textlink="">
        <xdr:nvSpPr>
          <xdr:cNvPr id="17" name="Line 28"/>
          <xdr:cNvSpPr>
            <a:spLocks noChangeShapeType="1"/>
          </xdr:cNvSpPr>
        </xdr:nvSpPr>
        <xdr:spPr bwMode="auto">
          <a:xfrm>
            <a:off x="0" y="10073163"/>
            <a:ext cx="804672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13"/>
  <sheetViews>
    <sheetView showGridLines="0" tabSelected="1" view="pageBreakPreview" zoomScale="120" zoomScaleNormal="120" zoomScaleSheetLayoutView="120" workbookViewId="0">
      <selection activeCell="BI33" sqref="BI33"/>
    </sheetView>
  </sheetViews>
  <sheetFormatPr defaultColWidth="11.44140625" defaultRowHeight="13.2"/>
  <cols>
    <col min="1" max="1" width="1.6640625" style="9" customWidth="1"/>
    <col min="2" max="3" width="0.6640625" style="9" customWidth="1"/>
    <col min="4" max="4" width="29" style="9" customWidth="1"/>
    <col min="5" max="6" width="5.6640625" style="8" hidden="1" customWidth="1"/>
    <col min="7" max="7" width="2.33203125" style="8" hidden="1" customWidth="1"/>
    <col min="8" max="9" width="5.6640625" style="8" hidden="1" customWidth="1"/>
    <col min="10" max="10" width="2.33203125" style="8" hidden="1" customWidth="1"/>
    <col min="11" max="12" width="6" style="8" hidden="1" customWidth="1"/>
    <col min="13" max="13" width="2.33203125" style="8" hidden="1" customWidth="1"/>
    <col min="14" max="15" width="6" style="8" hidden="1" customWidth="1"/>
    <col min="16" max="16" width="2.33203125" style="8" hidden="1" customWidth="1"/>
    <col min="17" max="18" width="6" style="8" hidden="1" customWidth="1"/>
    <col min="19" max="19" width="2.33203125" style="8" hidden="1" customWidth="1"/>
    <col min="20" max="21" width="6" style="8" hidden="1" customWidth="1"/>
    <col min="22" max="22" width="2.33203125" style="8" hidden="1" customWidth="1"/>
    <col min="23" max="24" width="6" style="8" hidden="1" customWidth="1"/>
    <col min="25" max="25" width="2.33203125" style="8" hidden="1" customWidth="1"/>
    <col min="26" max="27" width="6.33203125" style="8" hidden="1" customWidth="1"/>
    <col min="28" max="28" width="1.6640625" style="8" hidden="1" customWidth="1"/>
    <col min="29" max="30" width="6.33203125" style="8" hidden="1" customWidth="1"/>
    <col min="31" max="31" width="1.6640625" style="8" hidden="1" customWidth="1"/>
    <col min="32" max="33" width="6.33203125" style="8" hidden="1" customWidth="1"/>
    <col min="34" max="34" width="1.6640625" style="8" hidden="1" customWidth="1"/>
    <col min="35" max="36" width="6.33203125" style="8" hidden="1" customWidth="1"/>
    <col min="37" max="37" width="1.6640625" style="8" hidden="1" customWidth="1"/>
    <col min="38" max="39" width="7.44140625" style="8" hidden="1" customWidth="1"/>
    <col min="40" max="40" width="18.33203125" style="8" hidden="1" customWidth="1"/>
    <col min="41" max="42" width="8.6640625" style="8" hidden="1" customWidth="1"/>
    <col min="43" max="43" width="4.6640625" style="8" hidden="1" customWidth="1"/>
    <col min="44" max="45" width="8.6640625" style="8" hidden="1" customWidth="1"/>
    <col min="46" max="46" width="4.33203125" style="8" hidden="1" customWidth="1"/>
    <col min="47" max="48" width="8.6640625" style="8" customWidth="1"/>
    <col min="49" max="49" width="4.33203125" style="8" customWidth="1"/>
    <col min="50" max="51" width="8.6640625" style="8" customWidth="1"/>
    <col min="52" max="52" width="4.33203125" style="8" customWidth="1"/>
    <col min="53" max="54" width="8.6640625" style="8" customWidth="1"/>
    <col min="55" max="55" width="4.33203125" style="8" customWidth="1"/>
    <col min="56" max="56" width="0.88671875" style="9" customWidth="1"/>
    <col min="57" max="58" width="8.6640625" style="8" customWidth="1"/>
    <col min="59" max="59" width="4.33203125" style="8" customWidth="1"/>
    <col min="60" max="60" width="0.88671875" style="9" customWidth="1"/>
    <col min="61" max="16384" width="11.44140625" style="9"/>
  </cols>
  <sheetData>
    <row r="1" spans="1:61" s="1" customFormat="1" ht="15" customHeight="1">
      <c r="A1" s="1" t="s">
        <v>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E1" s="27"/>
      <c r="BF1" s="27"/>
      <c r="BG1" s="27"/>
    </row>
    <row r="2" spans="1:61" s="120" customFormat="1" ht="24.9" customHeight="1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</row>
    <row r="3" spans="1:61" s="79" customFormat="1" ht="15" customHeight="1">
      <c r="A3" s="77" t="s">
        <v>11</v>
      </c>
      <c r="B3" s="77"/>
      <c r="C3" s="77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E3" s="78"/>
      <c r="BF3" s="78"/>
      <c r="BG3" s="78"/>
    </row>
    <row r="4" spans="1:61" s="79" customFormat="1" ht="15" customHeight="1">
      <c r="A4" s="77"/>
      <c r="B4" s="77"/>
      <c r="C4" s="77"/>
      <c r="D4" s="77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E4" s="78"/>
      <c r="BF4" s="78"/>
      <c r="BG4" s="78"/>
    </row>
    <row r="5" spans="1:61" s="3" customFormat="1" ht="15" customHeight="1">
      <c r="A5" s="60"/>
      <c r="B5" s="60"/>
      <c r="C5" s="60"/>
      <c r="D5" s="60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E5" s="28"/>
      <c r="BF5" s="28"/>
      <c r="BG5" s="28"/>
    </row>
    <row r="6" spans="1:61" s="97" customFormat="1" ht="12" customHeight="1">
      <c r="A6" s="95"/>
      <c r="B6" s="95"/>
      <c r="C6" s="95"/>
      <c r="D6" s="95"/>
      <c r="E6" s="96" t="s">
        <v>9</v>
      </c>
      <c r="F6" s="96"/>
      <c r="G6" s="96"/>
      <c r="H6" s="96" t="s">
        <v>10</v>
      </c>
      <c r="I6" s="96"/>
      <c r="J6" s="96"/>
      <c r="K6" s="96" t="s">
        <v>13</v>
      </c>
      <c r="L6" s="96"/>
      <c r="M6" s="96"/>
      <c r="N6" s="96" t="s">
        <v>14</v>
      </c>
      <c r="O6" s="96"/>
      <c r="P6" s="96"/>
      <c r="Q6" s="96" t="s">
        <v>43</v>
      </c>
      <c r="R6" s="96"/>
      <c r="S6" s="96"/>
      <c r="T6" s="96" t="s">
        <v>22</v>
      </c>
      <c r="U6" s="96"/>
      <c r="V6" s="96"/>
      <c r="W6" s="130" t="s">
        <v>23</v>
      </c>
      <c r="X6" s="130"/>
      <c r="Y6" s="96"/>
      <c r="Z6" s="130" t="s">
        <v>25</v>
      </c>
      <c r="AA6" s="130"/>
      <c r="AB6" s="96"/>
      <c r="AC6" s="130" t="s">
        <v>26</v>
      </c>
      <c r="AD6" s="130"/>
      <c r="AE6" s="96"/>
      <c r="AF6" s="130" t="s">
        <v>28</v>
      </c>
      <c r="AG6" s="130"/>
      <c r="AH6" s="96"/>
      <c r="AI6" s="130" t="s">
        <v>29</v>
      </c>
      <c r="AJ6" s="130"/>
      <c r="AK6" s="96"/>
      <c r="AL6" s="130" t="s">
        <v>30</v>
      </c>
      <c r="AM6" s="130"/>
      <c r="AN6" s="96"/>
      <c r="AO6" s="129" t="s">
        <v>44</v>
      </c>
      <c r="AP6" s="130"/>
      <c r="AQ6" s="96"/>
      <c r="AR6" s="131" t="s">
        <v>45</v>
      </c>
      <c r="AS6" s="131"/>
      <c r="AT6" s="131"/>
      <c r="AU6" s="136" t="s">
        <v>50</v>
      </c>
      <c r="AV6" s="136"/>
      <c r="AW6" s="136"/>
      <c r="AX6" s="135" t="s">
        <v>51</v>
      </c>
      <c r="AY6" s="135"/>
      <c r="AZ6" s="135"/>
      <c r="BA6" s="136" t="s">
        <v>52</v>
      </c>
      <c r="BB6" s="136"/>
      <c r="BC6" s="136"/>
      <c r="BD6" s="121"/>
      <c r="BE6" s="135" t="s">
        <v>53</v>
      </c>
      <c r="BF6" s="135"/>
      <c r="BG6" s="135"/>
    </row>
    <row r="7" spans="1:61" s="100" customFormat="1" ht="15" customHeight="1">
      <c r="A7" s="134" t="s">
        <v>16</v>
      </c>
      <c r="B7" s="134"/>
      <c r="C7" s="134"/>
      <c r="D7" s="134"/>
      <c r="E7" s="122" t="s">
        <v>7</v>
      </c>
      <c r="F7" s="122" t="s">
        <v>12</v>
      </c>
      <c r="G7" s="122"/>
      <c r="H7" s="122" t="s">
        <v>8</v>
      </c>
      <c r="I7" s="122" t="s">
        <v>12</v>
      </c>
      <c r="J7" s="122"/>
      <c r="K7" s="122" t="s">
        <v>8</v>
      </c>
      <c r="L7" s="122" t="s">
        <v>12</v>
      </c>
      <c r="M7" s="122"/>
      <c r="N7" s="122" t="s">
        <v>8</v>
      </c>
      <c r="O7" s="122" t="s">
        <v>12</v>
      </c>
      <c r="P7" s="122"/>
      <c r="Q7" s="122" t="s">
        <v>8</v>
      </c>
      <c r="R7" s="122" t="s">
        <v>12</v>
      </c>
      <c r="S7" s="122"/>
      <c r="T7" s="122" t="s">
        <v>8</v>
      </c>
      <c r="U7" s="122" t="s">
        <v>12</v>
      </c>
      <c r="V7" s="122"/>
      <c r="W7" s="122" t="s">
        <v>8</v>
      </c>
      <c r="X7" s="122" t="s">
        <v>12</v>
      </c>
      <c r="Y7" s="122"/>
      <c r="Z7" s="122" t="s">
        <v>8</v>
      </c>
      <c r="AA7" s="122" t="s">
        <v>12</v>
      </c>
      <c r="AB7" s="122"/>
      <c r="AC7" s="122" t="s">
        <v>8</v>
      </c>
      <c r="AD7" s="122" t="s">
        <v>12</v>
      </c>
      <c r="AE7" s="122"/>
      <c r="AF7" s="122" t="s">
        <v>8</v>
      </c>
      <c r="AG7" s="122" t="s">
        <v>12</v>
      </c>
      <c r="AH7" s="122"/>
      <c r="AI7" s="122" t="s">
        <v>8</v>
      </c>
      <c r="AJ7" s="122" t="s">
        <v>12</v>
      </c>
      <c r="AK7" s="122"/>
      <c r="AL7" s="122" t="s">
        <v>8</v>
      </c>
      <c r="AM7" s="122" t="s">
        <v>12</v>
      </c>
      <c r="AN7" s="122"/>
      <c r="AO7" s="122" t="s">
        <v>8</v>
      </c>
      <c r="AP7" s="122" t="s">
        <v>12</v>
      </c>
      <c r="AQ7" s="122"/>
      <c r="AR7" s="122" t="s">
        <v>41</v>
      </c>
      <c r="AS7" s="122" t="s">
        <v>12</v>
      </c>
      <c r="AT7" s="122"/>
      <c r="AU7" s="123" t="s">
        <v>41</v>
      </c>
      <c r="AV7" s="123" t="s">
        <v>12</v>
      </c>
      <c r="AW7" s="123"/>
      <c r="AX7" s="122" t="s">
        <v>41</v>
      </c>
      <c r="AY7" s="122" t="s">
        <v>12</v>
      </c>
      <c r="AZ7" s="122"/>
      <c r="BA7" s="123" t="s">
        <v>41</v>
      </c>
      <c r="BB7" s="123" t="s">
        <v>12</v>
      </c>
      <c r="BC7" s="123"/>
      <c r="BD7" s="124"/>
      <c r="BE7" s="122" t="s">
        <v>41</v>
      </c>
      <c r="BF7" s="122" t="s">
        <v>12</v>
      </c>
      <c r="BG7" s="122"/>
      <c r="BH7" s="124"/>
    </row>
    <row r="8" spans="1:61" s="4" customFormat="1" ht="17.25" customHeight="1">
      <c r="A8" s="133" t="s">
        <v>24</v>
      </c>
      <c r="B8" s="133"/>
      <c r="C8" s="133"/>
      <c r="D8" s="133"/>
      <c r="E8" s="50">
        <f t="shared" ref="E8:AM8" si="0">SUM(E9:E15)</f>
        <v>1299</v>
      </c>
      <c r="F8" s="50">
        <f t="shared" si="0"/>
        <v>1014.97</v>
      </c>
      <c r="G8" s="50">
        <f t="shared" si="0"/>
        <v>0</v>
      </c>
      <c r="H8" s="50">
        <f t="shared" si="0"/>
        <v>1289</v>
      </c>
      <c r="I8" s="50">
        <f t="shared" si="0"/>
        <v>981.91</v>
      </c>
      <c r="J8" s="50">
        <f t="shared" si="0"/>
        <v>0</v>
      </c>
      <c r="K8" s="50">
        <f t="shared" si="0"/>
        <v>1227</v>
      </c>
      <c r="L8" s="50">
        <f t="shared" si="0"/>
        <v>931.42000000000007</v>
      </c>
      <c r="M8" s="50">
        <f t="shared" si="0"/>
        <v>0</v>
      </c>
      <c r="N8" s="50">
        <f t="shared" si="0"/>
        <v>1253</v>
      </c>
      <c r="O8" s="50">
        <f t="shared" si="0"/>
        <v>918.31999999999994</v>
      </c>
      <c r="P8" s="50">
        <f t="shared" si="0"/>
        <v>0</v>
      </c>
      <c r="Q8" s="50">
        <f t="shared" si="0"/>
        <v>1241</v>
      </c>
      <c r="R8" s="51">
        <f t="shared" si="0"/>
        <v>918.7600000000001</v>
      </c>
      <c r="S8" s="50">
        <f t="shared" si="0"/>
        <v>0</v>
      </c>
      <c r="T8" s="50">
        <f t="shared" si="0"/>
        <v>1193</v>
      </c>
      <c r="U8" s="51">
        <f t="shared" si="0"/>
        <v>878.23999999999978</v>
      </c>
      <c r="V8" s="50">
        <f t="shared" si="0"/>
        <v>0</v>
      </c>
      <c r="W8" s="50">
        <f t="shared" si="0"/>
        <v>1189</v>
      </c>
      <c r="X8" s="51">
        <f t="shared" si="0"/>
        <v>885.17000000000007</v>
      </c>
      <c r="Y8" s="50">
        <f t="shared" si="0"/>
        <v>0</v>
      </c>
      <c r="Z8" s="50">
        <f t="shared" si="0"/>
        <v>1190</v>
      </c>
      <c r="AA8" s="51">
        <f t="shared" si="0"/>
        <v>886.15000000000009</v>
      </c>
      <c r="AB8" s="50">
        <f t="shared" si="0"/>
        <v>0</v>
      </c>
      <c r="AC8" s="50">
        <f t="shared" si="0"/>
        <v>1189</v>
      </c>
      <c r="AD8" s="51">
        <f t="shared" si="0"/>
        <v>901.35</v>
      </c>
      <c r="AE8" s="50">
        <f t="shared" si="0"/>
        <v>0</v>
      </c>
      <c r="AF8" s="50">
        <f t="shared" si="0"/>
        <v>1149</v>
      </c>
      <c r="AG8" s="51">
        <f t="shared" si="0"/>
        <v>823</v>
      </c>
      <c r="AH8" s="50">
        <f t="shared" si="0"/>
        <v>0</v>
      </c>
      <c r="AI8" s="50">
        <f t="shared" si="0"/>
        <v>1132</v>
      </c>
      <c r="AJ8" s="51">
        <f t="shared" si="0"/>
        <v>819</v>
      </c>
      <c r="AK8" s="50">
        <f t="shared" si="0"/>
        <v>0</v>
      </c>
      <c r="AL8" s="50">
        <f t="shared" si="0"/>
        <v>1147</v>
      </c>
      <c r="AM8" s="51">
        <f t="shared" si="0"/>
        <v>848.13999999999987</v>
      </c>
      <c r="AN8" s="58"/>
      <c r="AO8" s="50">
        <f t="shared" ref="AO8:AP8" si="1">SUM(AO9:AO15)</f>
        <v>1151</v>
      </c>
      <c r="AP8" s="59">
        <f t="shared" si="1"/>
        <v>923.76</v>
      </c>
      <c r="AQ8" s="59"/>
      <c r="AR8" s="50">
        <f t="shared" ref="AR8:AS8" si="2">SUM(AR9:AR15)</f>
        <v>1204</v>
      </c>
      <c r="AS8" s="59">
        <f t="shared" si="2"/>
        <v>946.41000000000008</v>
      </c>
      <c r="AT8" s="59"/>
      <c r="AU8" s="80">
        <f t="shared" ref="AU8:AV8" si="3">SUM(AU9:AU15)</f>
        <v>1202</v>
      </c>
      <c r="AV8" s="81">
        <f t="shared" si="3"/>
        <v>971.39999999999986</v>
      </c>
      <c r="AW8" s="81"/>
      <c r="AX8" s="82">
        <f t="shared" ref="AX8:AY8" si="4">SUM(AX9:AX15)</f>
        <v>1190</v>
      </c>
      <c r="AY8" s="83">
        <f t="shared" si="4"/>
        <v>969.59</v>
      </c>
      <c r="AZ8" s="83"/>
      <c r="BA8" s="80">
        <f>SUM(BA9:BA15)</f>
        <v>1191</v>
      </c>
      <c r="BB8" s="81">
        <f>SUM(BB9:BB15)</f>
        <v>959.19999999999993</v>
      </c>
      <c r="BC8" s="81"/>
      <c r="BD8" s="84"/>
      <c r="BE8" s="82">
        <f>SUM(BE9:BE15)</f>
        <v>1152</v>
      </c>
      <c r="BF8" s="125">
        <f>SUM(BF9:BF15)</f>
        <v>930.30830000000003</v>
      </c>
      <c r="BG8" s="83"/>
    </row>
    <row r="9" spans="1:61" s="65" customFormat="1" ht="12" customHeight="1">
      <c r="B9" s="65" t="s">
        <v>17</v>
      </c>
      <c r="E9" s="66">
        <v>302</v>
      </c>
      <c r="F9" s="66">
        <f>237.87+47.16</f>
        <v>285.02999999999997</v>
      </c>
      <c r="G9" s="66"/>
      <c r="H9" s="66">
        <v>293</v>
      </c>
      <c r="I9" s="66">
        <f>225.8+45.35</f>
        <v>271.15000000000003</v>
      </c>
      <c r="J9" s="66"/>
      <c r="K9" s="66">
        <v>286</v>
      </c>
      <c r="L9" s="66">
        <v>261</v>
      </c>
      <c r="M9" s="66"/>
      <c r="N9" s="66">
        <f>227+42</f>
        <v>269</v>
      </c>
      <c r="O9" s="66">
        <f>202+42</f>
        <v>244</v>
      </c>
      <c r="P9" s="66"/>
      <c r="Q9" s="66">
        <f>236+42</f>
        <v>278</v>
      </c>
      <c r="R9" s="67">
        <f>208.18+40.71</f>
        <v>248.89000000000001</v>
      </c>
      <c r="S9" s="66"/>
      <c r="T9" s="66">
        <f>233+39</f>
        <v>272</v>
      </c>
      <c r="U9" s="67">
        <f>208.03+37.01</f>
        <v>245.04</v>
      </c>
      <c r="V9" s="66"/>
      <c r="W9" s="66">
        <f>231+37</f>
        <v>268</v>
      </c>
      <c r="X9" s="67">
        <f>204.08+36.39</f>
        <v>240.47000000000003</v>
      </c>
      <c r="Y9" s="66"/>
      <c r="Z9" s="66">
        <f>227+45</f>
        <v>272</v>
      </c>
      <c r="AA9" s="67">
        <f>206.7+45.42</f>
        <v>252.12</v>
      </c>
      <c r="AB9" s="66"/>
      <c r="AC9" s="66">
        <v>280</v>
      </c>
      <c r="AD9" s="67">
        <v>240</v>
      </c>
      <c r="AE9" s="66"/>
      <c r="AF9" s="66">
        <v>272</v>
      </c>
      <c r="AG9" s="67">
        <v>225</v>
      </c>
      <c r="AH9" s="66"/>
      <c r="AI9" s="66">
        <v>272</v>
      </c>
      <c r="AJ9" s="67">
        <v>227</v>
      </c>
      <c r="AK9" s="66"/>
      <c r="AL9" s="66">
        <v>271</v>
      </c>
      <c r="AM9" s="67">
        <v>224.03</v>
      </c>
      <c r="AN9" s="68"/>
      <c r="AO9" s="66">
        <v>249</v>
      </c>
      <c r="AP9" s="69">
        <v>245.93</v>
      </c>
      <c r="AQ9" s="69"/>
      <c r="AR9" s="66">
        <v>259</v>
      </c>
      <c r="AS9" s="69">
        <v>240.65</v>
      </c>
      <c r="AT9" s="69"/>
      <c r="AU9" s="70">
        <v>258</v>
      </c>
      <c r="AV9" s="71">
        <v>253.65</v>
      </c>
      <c r="AW9" s="71"/>
      <c r="AX9" s="66">
        <f>208+48</f>
        <v>256</v>
      </c>
      <c r="AY9" s="69">
        <v>252.57</v>
      </c>
      <c r="AZ9" s="69"/>
      <c r="BA9" s="70">
        <v>264</v>
      </c>
      <c r="BB9" s="71">
        <v>259.73</v>
      </c>
      <c r="BC9" s="71"/>
      <c r="BE9" s="66">
        <v>256</v>
      </c>
      <c r="BF9" s="69">
        <v>253.23339999999999</v>
      </c>
      <c r="BG9" s="69"/>
    </row>
    <row r="10" spans="1:61" s="72" customFormat="1" ht="12" customHeight="1">
      <c r="B10" s="127" t="s">
        <v>40</v>
      </c>
      <c r="C10" s="127"/>
      <c r="D10" s="127"/>
      <c r="E10" s="66">
        <v>13</v>
      </c>
      <c r="F10" s="66">
        <f>291.77-237.81-47.16</f>
        <v>6.7999999999999829</v>
      </c>
      <c r="G10" s="66"/>
      <c r="H10" s="66">
        <v>11</v>
      </c>
      <c r="I10" s="66">
        <f>279.12-225.8-45.35</f>
        <v>7.9699999999999918</v>
      </c>
      <c r="J10" s="66"/>
      <c r="K10" s="66">
        <v>11</v>
      </c>
      <c r="L10" s="66">
        <v>8</v>
      </c>
      <c r="M10" s="66"/>
      <c r="N10" s="66">
        <v>17</v>
      </c>
      <c r="O10" s="66">
        <v>14</v>
      </c>
      <c r="P10" s="66"/>
      <c r="Q10" s="66">
        <f>295-Q9</f>
        <v>17</v>
      </c>
      <c r="R10" s="67">
        <f>265.23-208.18-40.71</f>
        <v>16.340000000000011</v>
      </c>
      <c r="S10" s="66"/>
      <c r="T10" s="66">
        <f>292-T9</f>
        <v>20</v>
      </c>
      <c r="U10" s="67">
        <f>261.74-U9</f>
        <v>16.700000000000017</v>
      </c>
      <c r="V10" s="66"/>
      <c r="W10" s="66">
        <f>285-W9</f>
        <v>17</v>
      </c>
      <c r="X10" s="67">
        <f>257.25-X9</f>
        <v>16.779999999999973</v>
      </c>
      <c r="Y10" s="66"/>
      <c r="Z10" s="66">
        <f>297-Z9</f>
        <v>25</v>
      </c>
      <c r="AA10" s="67">
        <f>273.22-AA9</f>
        <v>21.100000000000023</v>
      </c>
      <c r="AB10" s="66"/>
      <c r="AC10" s="66">
        <v>24</v>
      </c>
      <c r="AD10" s="67">
        <v>22</v>
      </c>
      <c r="AE10" s="66"/>
      <c r="AF10" s="66">
        <v>30</v>
      </c>
      <c r="AG10" s="67">
        <v>24</v>
      </c>
      <c r="AH10" s="66"/>
      <c r="AI10" s="66">
        <v>35</v>
      </c>
      <c r="AJ10" s="67">
        <v>28</v>
      </c>
      <c r="AK10" s="66"/>
      <c r="AL10" s="66">
        <v>46</v>
      </c>
      <c r="AM10" s="67">
        <v>34.69</v>
      </c>
      <c r="AN10" s="138" t="s">
        <v>31</v>
      </c>
      <c r="AO10" s="66">
        <v>57</v>
      </c>
      <c r="AP10" s="69">
        <v>46.21</v>
      </c>
      <c r="AQ10" s="69"/>
      <c r="AR10" s="66">
        <v>61</v>
      </c>
      <c r="AS10" s="69">
        <v>52.16</v>
      </c>
      <c r="AT10" s="69"/>
      <c r="AU10" s="70">
        <v>65</v>
      </c>
      <c r="AV10" s="71">
        <v>57.59</v>
      </c>
      <c r="AW10" s="71"/>
      <c r="AX10" s="66">
        <v>64</v>
      </c>
      <c r="AY10" s="69">
        <v>57.4</v>
      </c>
      <c r="AZ10" s="69"/>
      <c r="BA10" s="70">
        <v>70</v>
      </c>
      <c r="BB10" s="71">
        <v>59.7</v>
      </c>
      <c r="BC10" s="71"/>
      <c r="BE10" s="66">
        <v>71</v>
      </c>
      <c r="BF10" s="69">
        <v>61.3</v>
      </c>
      <c r="BG10" s="69"/>
      <c r="BI10" s="147"/>
    </row>
    <row r="11" spans="1:61" s="65" customFormat="1" ht="12" customHeight="1">
      <c r="B11" s="127" t="s">
        <v>18</v>
      </c>
      <c r="C11" s="127"/>
      <c r="D11" s="127"/>
      <c r="E11" s="66">
        <v>298</v>
      </c>
      <c r="F11" s="66">
        <v>275.41000000000003</v>
      </c>
      <c r="G11" s="66"/>
      <c r="H11" s="66">
        <v>286</v>
      </c>
      <c r="I11" s="66">
        <v>261</v>
      </c>
      <c r="J11" s="66"/>
      <c r="K11" s="66">
        <v>284</v>
      </c>
      <c r="L11" s="66">
        <v>258.63</v>
      </c>
      <c r="M11" s="66"/>
      <c r="N11" s="66">
        <v>285</v>
      </c>
      <c r="O11" s="66">
        <v>261.39999999999998</v>
      </c>
      <c r="P11" s="66"/>
      <c r="Q11" s="66">
        <v>285</v>
      </c>
      <c r="R11" s="67">
        <v>264.52999999999997</v>
      </c>
      <c r="S11" s="66"/>
      <c r="T11" s="66">
        <v>289</v>
      </c>
      <c r="U11" s="67">
        <v>252.55</v>
      </c>
      <c r="V11" s="66"/>
      <c r="W11" s="66">
        <v>293</v>
      </c>
      <c r="X11" s="67">
        <v>263.49</v>
      </c>
      <c r="Y11" s="66"/>
      <c r="Z11" s="66">
        <v>288</v>
      </c>
      <c r="AA11" s="67">
        <v>264.16000000000003</v>
      </c>
      <c r="AB11" s="66"/>
      <c r="AC11" s="66">
        <v>303</v>
      </c>
      <c r="AD11" s="67">
        <v>286</v>
      </c>
      <c r="AE11" s="66"/>
      <c r="AF11" s="66">
        <v>292</v>
      </c>
      <c r="AG11" s="67">
        <v>256</v>
      </c>
      <c r="AH11" s="66"/>
      <c r="AI11" s="66">
        <v>292</v>
      </c>
      <c r="AJ11" s="67">
        <v>261</v>
      </c>
      <c r="AK11" s="66"/>
      <c r="AL11" s="66">
        <v>307</v>
      </c>
      <c r="AM11" s="67">
        <v>286.29000000000002</v>
      </c>
      <c r="AN11" s="138"/>
      <c r="AO11" s="66">
        <v>314</v>
      </c>
      <c r="AP11" s="69">
        <v>302.27</v>
      </c>
      <c r="AQ11" s="69"/>
      <c r="AR11" s="66">
        <v>320</v>
      </c>
      <c r="AS11" s="69">
        <v>306.12</v>
      </c>
      <c r="AT11" s="69"/>
      <c r="AU11" s="70">
        <v>342</v>
      </c>
      <c r="AV11" s="71">
        <v>332.26</v>
      </c>
      <c r="AW11" s="71"/>
      <c r="AX11" s="66">
        <v>360</v>
      </c>
      <c r="AY11" s="69">
        <v>349.53</v>
      </c>
      <c r="AZ11" s="69"/>
      <c r="BA11" s="70">
        <v>358</v>
      </c>
      <c r="BB11" s="71">
        <v>344.4</v>
      </c>
      <c r="BC11" s="71"/>
      <c r="BE11" s="66">
        <v>339</v>
      </c>
      <c r="BF11" s="69">
        <v>328.17489999999998</v>
      </c>
      <c r="BG11" s="69"/>
    </row>
    <row r="12" spans="1:61" s="72" customFormat="1" ht="12" customHeight="1">
      <c r="B12" s="127" t="s">
        <v>19</v>
      </c>
      <c r="C12" s="127"/>
      <c r="D12" s="127"/>
      <c r="E12" s="66">
        <v>0</v>
      </c>
      <c r="F12" s="66">
        <v>0</v>
      </c>
      <c r="G12" s="66"/>
      <c r="H12" s="66">
        <v>0</v>
      </c>
      <c r="I12" s="66">
        <v>0</v>
      </c>
      <c r="J12" s="66"/>
      <c r="K12" s="66">
        <v>0</v>
      </c>
      <c r="L12" s="66">
        <v>0</v>
      </c>
      <c r="M12" s="66"/>
      <c r="N12" s="66">
        <v>2</v>
      </c>
      <c r="O12" s="66">
        <v>1.67</v>
      </c>
      <c r="P12" s="66"/>
      <c r="Q12" s="66">
        <v>5</v>
      </c>
      <c r="R12" s="67">
        <v>2.4500000000000002</v>
      </c>
      <c r="S12" s="66"/>
      <c r="T12" s="66">
        <v>6</v>
      </c>
      <c r="U12" s="67">
        <v>2.06</v>
      </c>
      <c r="V12" s="66"/>
      <c r="W12" s="66">
        <v>2</v>
      </c>
      <c r="X12" s="67">
        <v>0.5</v>
      </c>
      <c r="Y12" s="66"/>
      <c r="Z12" s="66">
        <v>1</v>
      </c>
      <c r="AA12" s="67">
        <v>0.35</v>
      </c>
      <c r="AB12" s="66"/>
      <c r="AC12" s="66">
        <v>1</v>
      </c>
      <c r="AD12" s="67">
        <v>0.35</v>
      </c>
      <c r="AE12" s="66"/>
      <c r="AF12" s="66">
        <v>3</v>
      </c>
      <c r="AG12" s="67">
        <v>1</v>
      </c>
      <c r="AH12" s="66"/>
      <c r="AI12" s="66">
        <v>3</v>
      </c>
      <c r="AJ12" s="67">
        <v>1</v>
      </c>
      <c r="AK12" s="66"/>
      <c r="AL12" s="66">
        <v>3</v>
      </c>
      <c r="AM12" s="67">
        <v>0.5</v>
      </c>
      <c r="AN12" s="138"/>
      <c r="AO12" s="66">
        <v>2</v>
      </c>
      <c r="AP12" s="69">
        <v>0.5</v>
      </c>
      <c r="AQ12" s="69"/>
      <c r="AR12" s="66">
        <v>4</v>
      </c>
      <c r="AS12" s="69">
        <v>1.75</v>
      </c>
      <c r="AT12" s="69"/>
      <c r="AU12" s="70">
        <v>2</v>
      </c>
      <c r="AV12" s="71">
        <v>1.17</v>
      </c>
      <c r="AW12" s="71"/>
      <c r="AX12" s="66">
        <v>2</v>
      </c>
      <c r="AY12" s="69">
        <v>0.15</v>
      </c>
      <c r="AZ12" s="69"/>
      <c r="BA12" s="70">
        <v>2</v>
      </c>
      <c r="BB12" s="71">
        <v>0.3</v>
      </c>
      <c r="BC12" s="71"/>
      <c r="BE12" s="66">
        <v>2</v>
      </c>
      <c r="BF12" s="69">
        <v>0.8</v>
      </c>
      <c r="BG12" s="69"/>
    </row>
    <row r="13" spans="1:61" s="72" customFormat="1" ht="12" customHeight="1">
      <c r="B13" s="127" t="s">
        <v>15</v>
      </c>
      <c r="C13" s="127"/>
      <c r="D13" s="127"/>
      <c r="E13" s="66">
        <v>153</v>
      </c>
      <c r="F13" s="66">
        <v>154.44</v>
      </c>
      <c r="G13" s="66"/>
      <c r="H13" s="66">
        <v>137</v>
      </c>
      <c r="I13" s="66">
        <v>132.02000000000001</v>
      </c>
      <c r="J13" s="66"/>
      <c r="K13" s="66">
        <v>125</v>
      </c>
      <c r="L13" s="66">
        <v>113.2</v>
      </c>
      <c r="M13" s="66"/>
      <c r="N13" s="66">
        <v>108</v>
      </c>
      <c r="O13" s="66">
        <v>101.48</v>
      </c>
      <c r="P13" s="66"/>
      <c r="Q13" s="66">
        <v>102</v>
      </c>
      <c r="R13" s="67">
        <v>96.61</v>
      </c>
      <c r="S13" s="66"/>
      <c r="T13" s="66">
        <v>100</v>
      </c>
      <c r="U13" s="67">
        <v>93.55</v>
      </c>
      <c r="V13" s="66"/>
      <c r="W13" s="66">
        <v>95</v>
      </c>
      <c r="X13" s="67">
        <v>90.18</v>
      </c>
      <c r="Y13" s="66"/>
      <c r="Z13" s="66">
        <v>85</v>
      </c>
      <c r="AA13" s="67">
        <v>80.36</v>
      </c>
      <c r="AB13" s="66"/>
      <c r="AC13" s="66">
        <v>77</v>
      </c>
      <c r="AD13" s="67">
        <v>72</v>
      </c>
      <c r="AE13" s="66"/>
      <c r="AF13" s="66">
        <v>61</v>
      </c>
      <c r="AG13" s="67">
        <v>56</v>
      </c>
      <c r="AH13" s="66"/>
      <c r="AI13" s="66">
        <v>56</v>
      </c>
      <c r="AJ13" s="67">
        <v>51</v>
      </c>
      <c r="AK13" s="66"/>
      <c r="AL13" s="66">
        <v>51</v>
      </c>
      <c r="AM13" s="67">
        <v>48.54</v>
      </c>
      <c r="AN13" s="138"/>
      <c r="AO13" s="66">
        <v>49</v>
      </c>
      <c r="AP13" s="69">
        <v>47.92</v>
      </c>
      <c r="AQ13" s="69"/>
      <c r="AR13" s="66">
        <v>43</v>
      </c>
      <c r="AS13" s="69">
        <v>41.92</v>
      </c>
      <c r="AT13" s="69"/>
      <c r="AU13" s="70">
        <v>39</v>
      </c>
      <c r="AV13" s="71">
        <v>38.42</v>
      </c>
      <c r="AW13" s="71"/>
      <c r="AX13" s="66">
        <v>37</v>
      </c>
      <c r="AY13" s="69">
        <v>35.840000000000003</v>
      </c>
      <c r="AZ13" s="69"/>
      <c r="BA13" s="70">
        <v>36</v>
      </c>
      <c r="BB13" s="71">
        <v>34.72</v>
      </c>
      <c r="BC13" s="71"/>
      <c r="BE13" s="66">
        <v>32</v>
      </c>
      <c r="BF13" s="69">
        <v>30.7</v>
      </c>
      <c r="BG13" s="69"/>
    </row>
    <row r="14" spans="1:61" s="72" customFormat="1" ht="12" customHeight="1">
      <c r="B14" s="127" t="s">
        <v>21</v>
      </c>
      <c r="C14" s="127"/>
      <c r="D14" s="127"/>
      <c r="E14" s="66">
        <v>61</v>
      </c>
      <c r="F14" s="66">
        <v>58.6</v>
      </c>
      <c r="G14" s="66"/>
      <c r="H14" s="66">
        <v>74</v>
      </c>
      <c r="I14" s="66">
        <v>68.27</v>
      </c>
      <c r="J14" s="66"/>
      <c r="K14" s="66">
        <v>74</v>
      </c>
      <c r="L14" s="66">
        <v>67.540000000000006</v>
      </c>
      <c r="M14" s="66"/>
      <c r="N14" s="66">
        <v>70</v>
      </c>
      <c r="O14" s="66">
        <v>62.48</v>
      </c>
      <c r="P14" s="66"/>
      <c r="Q14" s="66">
        <v>69</v>
      </c>
      <c r="R14" s="67">
        <v>62.97</v>
      </c>
      <c r="S14" s="66"/>
      <c r="T14" s="66">
        <v>64</v>
      </c>
      <c r="U14" s="67">
        <v>59.43</v>
      </c>
      <c r="V14" s="66"/>
      <c r="W14" s="66">
        <v>61</v>
      </c>
      <c r="X14" s="67">
        <v>51.64</v>
      </c>
      <c r="Y14" s="66"/>
      <c r="Z14" s="66">
        <v>54</v>
      </c>
      <c r="AA14" s="67">
        <v>44.02</v>
      </c>
      <c r="AB14" s="66"/>
      <c r="AC14" s="66">
        <v>73</v>
      </c>
      <c r="AD14" s="67">
        <v>68</v>
      </c>
      <c r="AE14" s="66"/>
      <c r="AF14" s="66">
        <v>79</v>
      </c>
      <c r="AG14" s="67">
        <v>62</v>
      </c>
      <c r="AH14" s="66"/>
      <c r="AI14" s="66">
        <v>82</v>
      </c>
      <c r="AJ14" s="67">
        <v>68</v>
      </c>
      <c r="AK14" s="66"/>
      <c r="AL14" s="66">
        <v>75</v>
      </c>
      <c r="AM14" s="67">
        <v>64.55</v>
      </c>
      <c r="AN14" s="138"/>
      <c r="AO14" s="66">
        <v>80</v>
      </c>
      <c r="AP14" s="69">
        <v>79.25</v>
      </c>
      <c r="AQ14" s="69"/>
      <c r="AR14" s="66">
        <v>92</v>
      </c>
      <c r="AS14" s="69">
        <v>88.5</v>
      </c>
      <c r="AT14" s="69"/>
      <c r="AU14" s="70">
        <v>85</v>
      </c>
      <c r="AV14" s="71">
        <v>82.37</v>
      </c>
      <c r="AW14" s="71"/>
      <c r="AX14" s="66">
        <v>80</v>
      </c>
      <c r="AY14" s="69">
        <v>78</v>
      </c>
      <c r="AZ14" s="69"/>
      <c r="BA14" s="70">
        <v>69</v>
      </c>
      <c r="BB14" s="71">
        <v>65.849999999999994</v>
      </c>
      <c r="BC14" s="71"/>
      <c r="BE14" s="66">
        <v>63</v>
      </c>
      <c r="BF14" s="69">
        <v>61.1</v>
      </c>
      <c r="BG14" s="69"/>
    </row>
    <row r="15" spans="1:61" s="72" customFormat="1" ht="12" customHeight="1">
      <c r="B15" s="127" t="s">
        <v>20</v>
      </c>
      <c r="C15" s="127"/>
      <c r="D15" s="127"/>
      <c r="E15" s="66">
        <v>472</v>
      </c>
      <c r="F15" s="66">
        <v>234.69</v>
      </c>
      <c r="G15" s="66"/>
      <c r="H15" s="66">
        <v>488</v>
      </c>
      <c r="I15" s="66">
        <v>241.5</v>
      </c>
      <c r="J15" s="66"/>
      <c r="K15" s="66">
        <v>447</v>
      </c>
      <c r="L15" s="66">
        <v>223.05</v>
      </c>
      <c r="M15" s="66"/>
      <c r="N15" s="66">
        <v>502</v>
      </c>
      <c r="O15" s="66">
        <v>233.29</v>
      </c>
      <c r="P15" s="66"/>
      <c r="Q15" s="66">
        <v>485</v>
      </c>
      <c r="R15" s="67">
        <v>226.97</v>
      </c>
      <c r="S15" s="66"/>
      <c r="T15" s="66">
        <v>442</v>
      </c>
      <c r="U15" s="67">
        <v>208.91</v>
      </c>
      <c r="V15" s="66"/>
      <c r="W15" s="66">
        <v>453</v>
      </c>
      <c r="X15" s="67">
        <v>222.11</v>
      </c>
      <c r="Y15" s="66"/>
      <c r="Z15" s="66">
        <v>465</v>
      </c>
      <c r="AA15" s="67">
        <v>224.04</v>
      </c>
      <c r="AB15" s="66"/>
      <c r="AC15" s="66">
        <v>431</v>
      </c>
      <c r="AD15" s="67">
        <v>213</v>
      </c>
      <c r="AE15" s="66"/>
      <c r="AF15" s="66">
        <v>412</v>
      </c>
      <c r="AG15" s="67">
        <v>199</v>
      </c>
      <c r="AH15" s="66"/>
      <c r="AI15" s="66">
        <v>392</v>
      </c>
      <c r="AJ15" s="67">
        <v>183</v>
      </c>
      <c r="AK15" s="66"/>
      <c r="AL15" s="66">
        <v>394</v>
      </c>
      <c r="AM15" s="67">
        <v>189.54</v>
      </c>
      <c r="AN15" s="138"/>
      <c r="AO15" s="66">
        <v>400</v>
      </c>
      <c r="AP15" s="69">
        <v>201.68</v>
      </c>
      <c r="AQ15" s="69"/>
      <c r="AR15" s="66">
        <v>425</v>
      </c>
      <c r="AS15" s="69">
        <v>215.31</v>
      </c>
      <c r="AT15" s="69"/>
      <c r="AU15" s="70">
        <v>411</v>
      </c>
      <c r="AV15" s="71">
        <v>205.94</v>
      </c>
      <c r="AW15" s="71"/>
      <c r="AX15" s="66">
        <v>391</v>
      </c>
      <c r="AY15" s="69">
        <v>196.1</v>
      </c>
      <c r="AZ15" s="69"/>
      <c r="BA15" s="70">
        <v>392</v>
      </c>
      <c r="BB15" s="71">
        <v>194.5</v>
      </c>
      <c r="BC15" s="71"/>
      <c r="BE15" s="66">
        <v>389</v>
      </c>
      <c r="BF15" s="69">
        <v>195</v>
      </c>
      <c r="BG15" s="69"/>
    </row>
    <row r="16" spans="1:61" s="18" customFormat="1" ht="12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36"/>
      <c r="T16" s="36"/>
      <c r="U16" s="37"/>
      <c r="V16" s="36"/>
      <c r="W16" s="36"/>
      <c r="X16" s="37"/>
      <c r="Y16" s="36"/>
      <c r="Z16" s="36"/>
      <c r="AA16" s="37"/>
      <c r="AB16" s="36"/>
      <c r="AC16" s="36"/>
      <c r="AD16" s="37"/>
      <c r="AE16" s="36"/>
      <c r="AF16" s="36"/>
      <c r="AG16" s="37"/>
      <c r="AH16" s="36"/>
      <c r="AI16" s="36"/>
      <c r="AJ16" s="37"/>
      <c r="AK16" s="36"/>
      <c r="AL16" s="36"/>
      <c r="AM16" s="37"/>
      <c r="AN16" s="138"/>
      <c r="AO16" s="36"/>
      <c r="AP16" s="30"/>
      <c r="AQ16" s="30"/>
      <c r="AR16" s="36"/>
      <c r="AS16" s="30"/>
      <c r="AT16" s="30"/>
      <c r="AU16" s="70"/>
      <c r="AV16" s="71"/>
      <c r="AW16" s="71"/>
      <c r="AX16" s="66"/>
      <c r="AY16" s="69"/>
      <c r="AZ16" s="69"/>
      <c r="BA16" s="70"/>
      <c r="BB16" s="71"/>
      <c r="BC16" s="71"/>
      <c r="BD16" s="73"/>
      <c r="BE16" s="66"/>
      <c r="BF16" s="69"/>
      <c r="BG16" s="69"/>
    </row>
    <row r="17" spans="1:59" s="21" customFormat="1" ht="12" customHeight="1">
      <c r="A17" s="137" t="s">
        <v>1</v>
      </c>
      <c r="B17" s="137"/>
      <c r="C17" s="137"/>
      <c r="D17" s="137"/>
      <c r="E17" s="43">
        <f t="shared" ref="E17:AM17" si="5">SUM(E18:E24)</f>
        <v>184</v>
      </c>
      <c r="F17" s="43">
        <f t="shared" si="5"/>
        <v>129.69</v>
      </c>
      <c r="G17" s="43">
        <f t="shared" si="5"/>
        <v>0</v>
      </c>
      <c r="H17" s="43">
        <f t="shared" si="5"/>
        <v>182</v>
      </c>
      <c r="I17" s="43">
        <f t="shared" si="5"/>
        <v>125.58</v>
      </c>
      <c r="J17" s="43">
        <f t="shared" si="5"/>
        <v>0</v>
      </c>
      <c r="K17" s="43">
        <f t="shared" si="5"/>
        <v>198</v>
      </c>
      <c r="L17" s="43">
        <f t="shared" si="5"/>
        <v>130.27000000000001</v>
      </c>
      <c r="M17" s="43">
        <f t="shared" si="5"/>
        <v>0</v>
      </c>
      <c r="N17" s="43">
        <f t="shared" si="5"/>
        <v>172</v>
      </c>
      <c r="O17" s="43">
        <f t="shared" si="5"/>
        <v>130.04000000000002</v>
      </c>
      <c r="P17" s="43">
        <f t="shared" si="5"/>
        <v>0</v>
      </c>
      <c r="Q17" s="43">
        <f t="shared" si="5"/>
        <v>172</v>
      </c>
      <c r="R17" s="43">
        <f t="shared" si="5"/>
        <v>132.65</v>
      </c>
      <c r="S17" s="43">
        <f t="shared" si="5"/>
        <v>0</v>
      </c>
      <c r="T17" s="43">
        <f t="shared" si="5"/>
        <v>171</v>
      </c>
      <c r="U17" s="43">
        <f t="shared" si="5"/>
        <v>133.07</v>
      </c>
      <c r="V17" s="43">
        <f t="shared" si="5"/>
        <v>0</v>
      </c>
      <c r="W17" s="43">
        <f t="shared" si="5"/>
        <v>170</v>
      </c>
      <c r="X17" s="43">
        <f t="shared" si="5"/>
        <v>130.80000000000001</v>
      </c>
      <c r="Y17" s="43">
        <f t="shared" si="5"/>
        <v>0</v>
      </c>
      <c r="Z17" s="43">
        <f t="shared" si="5"/>
        <v>172</v>
      </c>
      <c r="AA17" s="43">
        <f t="shared" si="5"/>
        <v>133.24</v>
      </c>
      <c r="AB17" s="43">
        <f t="shared" si="5"/>
        <v>0</v>
      </c>
      <c r="AC17" s="43">
        <f t="shared" si="5"/>
        <v>181</v>
      </c>
      <c r="AD17" s="43">
        <f t="shared" si="5"/>
        <v>144.88999999999999</v>
      </c>
      <c r="AE17" s="43">
        <f t="shared" si="5"/>
        <v>0</v>
      </c>
      <c r="AF17" s="43">
        <f t="shared" si="5"/>
        <v>192</v>
      </c>
      <c r="AG17" s="43">
        <f t="shared" si="5"/>
        <v>151.32999999999998</v>
      </c>
      <c r="AH17" s="43">
        <f t="shared" si="5"/>
        <v>0</v>
      </c>
      <c r="AI17" s="43">
        <f t="shared" si="5"/>
        <v>201</v>
      </c>
      <c r="AJ17" s="43">
        <f t="shared" si="5"/>
        <v>155.32999999999998</v>
      </c>
      <c r="AK17" s="43">
        <f t="shared" si="5"/>
        <v>0</v>
      </c>
      <c r="AL17" s="43">
        <f t="shared" si="5"/>
        <v>209</v>
      </c>
      <c r="AM17" s="43">
        <f t="shared" si="5"/>
        <v>159.46</v>
      </c>
      <c r="AN17" s="138"/>
      <c r="AO17" s="43">
        <f t="shared" ref="AO17:AP17" si="6">SUM(AO18:AO24)</f>
        <v>216</v>
      </c>
      <c r="AP17" s="31">
        <f t="shared" si="6"/>
        <v>166.91000000000003</v>
      </c>
      <c r="AQ17" s="31"/>
      <c r="AR17" s="43">
        <f t="shared" ref="AR17:AS17" si="7">SUM(AR18:AR24)</f>
        <v>250</v>
      </c>
      <c r="AS17" s="31">
        <f t="shared" si="7"/>
        <v>184.78</v>
      </c>
      <c r="AT17" s="31"/>
      <c r="AU17" s="85">
        <f t="shared" ref="AU17:AV17" si="8">SUM(AU18:AU24)</f>
        <v>269</v>
      </c>
      <c r="AV17" s="86">
        <f t="shared" si="8"/>
        <v>199</v>
      </c>
      <c r="AW17" s="86"/>
      <c r="AX17" s="87">
        <f t="shared" ref="AX17:AY17" si="9">SUM(AX18:AX24)</f>
        <v>276</v>
      </c>
      <c r="AY17" s="88">
        <f t="shared" si="9"/>
        <v>207.2</v>
      </c>
      <c r="AZ17" s="88"/>
      <c r="BA17" s="85">
        <f>SUM(BA18:BA24)</f>
        <v>307</v>
      </c>
      <c r="BB17" s="86">
        <f>SUM(BB18:BB24)</f>
        <v>228.64</v>
      </c>
      <c r="BC17" s="86"/>
      <c r="BD17" s="89"/>
      <c r="BE17" s="87">
        <f>SUM(BE18:BE24)</f>
        <v>320</v>
      </c>
      <c r="BF17" s="126">
        <f>SUM(BF18:BF24)</f>
        <v>242.81610000000001</v>
      </c>
      <c r="BG17" s="88"/>
    </row>
    <row r="18" spans="1:59" s="72" customFormat="1" ht="12" customHeight="1">
      <c r="A18" s="73"/>
      <c r="B18" s="127" t="s">
        <v>17</v>
      </c>
      <c r="C18" s="127"/>
      <c r="D18" s="127"/>
      <c r="E18" s="66">
        <v>66</v>
      </c>
      <c r="F18" s="66">
        <v>63</v>
      </c>
      <c r="G18" s="66"/>
      <c r="H18" s="66">
        <v>63</v>
      </c>
      <c r="I18" s="66">
        <v>62.1</v>
      </c>
      <c r="J18" s="66"/>
      <c r="K18" s="66">
        <v>62</v>
      </c>
      <c r="L18" s="66">
        <v>61</v>
      </c>
      <c r="M18" s="66"/>
      <c r="N18" s="66">
        <v>61</v>
      </c>
      <c r="O18" s="66">
        <v>58</v>
      </c>
      <c r="P18" s="66"/>
      <c r="Q18" s="66">
        <f>46+15</f>
        <v>61</v>
      </c>
      <c r="R18" s="67">
        <f>43.71+15</f>
        <v>58.71</v>
      </c>
      <c r="S18" s="66"/>
      <c r="T18" s="66">
        <f>45+17</f>
        <v>62</v>
      </c>
      <c r="U18" s="67">
        <f>44.05+16.5</f>
        <v>60.55</v>
      </c>
      <c r="V18" s="66"/>
      <c r="W18" s="66">
        <f>44+18</f>
        <v>62</v>
      </c>
      <c r="X18" s="67">
        <f>40.87+17</f>
        <v>57.87</v>
      </c>
      <c r="Y18" s="66"/>
      <c r="Z18" s="66">
        <f>43+21</f>
        <v>64</v>
      </c>
      <c r="AA18" s="67">
        <f>41.73+21</f>
        <v>62.73</v>
      </c>
      <c r="AB18" s="66"/>
      <c r="AC18" s="66">
        <v>70</v>
      </c>
      <c r="AD18" s="67">
        <v>70</v>
      </c>
      <c r="AE18" s="66"/>
      <c r="AF18" s="66">
        <v>72</v>
      </c>
      <c r="AG18" s="67">
        <v>71</v>
      </c>
      <c r="AH18" s="66"/>
      <c r="AI18" s="66">
        <v>73</v>
      </c>
      <c r="AJ18" s="67">
        <v>72</v>
      </c>
      <c r="AK18" s="66"/>
      <c r="AL18" s="66">
        <v>75</v>
      </c>
      <c r="AM18" s="67">
        <v>74.23</v>
      </c>
      <c r="AN18" s="138"/>
      <c r="AO18" s="66">
        <v>77</v>
      </c>
      <c r="AP18" s="69">
        <v>75.25</v>
      </c>
      <c r="AQ18" s="69"/>
      <c r="AR18" s="66">
        <v>83</v>
      </c>
      <c r="AS18" s="69">
        <v>80.25</v>
      </c>
      <c r="AT18" s="69"/>
      <c r="AU18" s="70">
        <v>85</v>
      </c>
      <c r="AV18" s="71">
        <v>83.25</v>
      </c>
      <c r="AW18" s="71"/>
      <c r="AX18" s="66">
        <f>60+26</f>
        <v>86</v>
      </c>
      <c r="AY18" s="69">
        <v>84.25</v>
      </c>
      <c r="AZ18" s="69"/>
      <c r="BA18" s="70">
        <v>91</v>
      </c>
      <c r="BB18" s="71">
        <v>90.17</v>
      </c>
      <c r="BC18" s="71"/>
      <c r="BE18" s="66">
        <v>98</v>
      </c>
      <c r="BF18" s="69">
        <v>96.334000000000003</v>
      </c>
      <c r="BG18" s="69"/>
    </row>
    <row r="19" spans="1:59" s="73" customFormat="1" ht="12" customHeight="1">
      <c r="A19" s="65"/>
      <c r="B19" s="127" t="s">
        <v>40</v>
      </c>
      <c r="C19" s="127"/>
      <c r="D19" s="127"/>
      <c r="E19" s="66">
        <v>16</v>
      </c>
      <c r="F19" s="66">
        <v>10</v>
      </c>
      <c r="G19" s="66"/>
      <c r="H19" s="66">
        <v>15</v>
      </c>
      <c r="I19" s="66">
        <v>8.9</v>
      </c>
      <c r="J19" s="66"/>
      <c r="K19" s="66">
        <v>22</v>
      </c>
      <c r="L19" s="66">
        <v>13</v>
      </c>
      <c r="M19" s="66"/>
      <c r="N19" s="66">
        <v>22</v>
      </c>
      <c r="O19" s="66">
        <v>15</v>
      </c>
      <c r="P19" s="66"/>
      <c r="Q19" s="66">
        <f>84-46-15</f>
        <v>23</v>
      </c>
      <c r="R19" s="67">
        <f>73.47-43.71-15</f>
        <v>14.759999999999998</v>
      </c>
      <c r="S19" s="66"/>
      <c r="T19" s="66">
        <f>85-45-17</f>
        <v>23</v>
      </c>
      <c r="U19" s="67">
        <f>75.08-44.05-16.5</f>
        <v>14.530000000000001</v>
      </c>
      <c r="V19" s="66"/>
      <c r="W19" s="66">
        <f>82-W18</f>
        <v>20</v>
      </c>
      <c r="X19" s="67">
        <f>72.31-X18</f>
        <v>14.440000000000005</v>
      </c>
      <c r="Y19" s="66"/>
      <c r="Z19" s="66">
        <f>81-Z18</f>
        <v>17</v>
      </c>
      <c r="AA19" s="67">
        <f>75.25-AA18</f>
        <v>12.520000000000003</v>
      </c>
      <c r="AB19" s="66"/>
      <c r="AC19" s="66">
        <v>15</v>
      </c>
      <c r="AD19" s="67">
        <v>13</v>
      </c>
      <c r="AE19" s="66"/>
      <c r="AF19" s="66">
        <v>19</v>
      </c>
      <c r="AG19" s="67">
        <v>16</v>
      </c>
      <c r="AH19" s="66"/>
      <c r="AI19" s="66">
        <v>19</v>
      </c>
      <c r="AJ19" s="67">
        <v>16</v>
      </c>
      <c r="AK19" s="66"/>
      <c r="AL19" s="66">
        <v>21</v>
      </c>
      <c r="AM19" s="67">
        <v>16.41</v>
      </c>
      <c r="AN19" s="138"/>
      <c r="AO19" s="66">
        <v>24</v>
      </c>
      <c r="AP19" s="74">
        <v>18.43</v>
      </c>
      <c r="AQ19" s="74"/>
      <c r="AR19" s="66">
        <v>24</v>
      </c>
      <c r="AS19" s="74">
        <v>20.58</v>
      </c>
      <c r="AT19" s="74"/>
      <c r="AU19" s="70">
        <v>31</v>
      </c>
      <c r="AV19" s="75">
        <v>25.25</v>
      </c>
      <c r="AW19" s="75"/>
      <c r="AX19" s="66">
        <v>38</v>
      </c>
      <c r="AY19" s="74">
        <v>31</v>
      </c>
      <c r="AZ19" s="74"/>
      <c r="BA19" s="70">
        <v>47</v>
      </c>
      <c r="BB19" s="75">
        <v>39.67</v>
      </c>
      <c r="BC19" s="75"/>
      <c r="BE19" s="66">
        <v>46</v>
      </c>
      <c r="BF19" s="74">
        <v>38.375</v>
      </c>
      <c r="BG19" s="74"/>
    </row>
    <row r="20" spans="1:59" s="72" customFormat="1" ht="12" customHeight="1">
      <c r="A20" s="73"/>
      <c r="B20" s="127" t="s">
        <v>18</v>
      </c>
      <c r="C20" s="127"/>
      <c r="D20" s="127"/>
      <c r="E20" s="66">
        <v>25</v>
      </c>
      <c r="F20" s="66">
        <v>25.67</v>
      </c>
      <c r="G20" s="66"/>
      <c r="H20" s="66">
        <v>24</v>
      </c>
      <c r="I20" s="66">
        <v>24.55</v>
      </c>
      <c r="J20" s="66"/>
      <c r="K20" s="66">
        <v>25</v>
      </c>
      <c r="L20" s="66">
        <v>26.03</v>
      </c>
      <c r="M20" s="66"/>
      <c r="N20" s="66">
        <v>28</v>
      </c>
      <c r="O20" s="66">
        <v>27.56</v>
      </c>
      <c r="P20" s="66"/>
      <c r="Q20" s="66">
        <v>30</v>
      </c>
      <c r="R20" s="67">
        <v>29.16</v>
      </c>
      <c r="S20" s="66"/>
      <c r="T20" s="66">
        <v>31</v>
      </c>
      <c r="U20" s="67">
        <v>30.22</v>
      </c>
      <c r="V20" s="66"/>
      <c r="W20" s="66">
        <v>32</v>
      </c>
      <c r="X20" s="67">
        <v>31.24</v>
      </c>
      <c r="Y20" s="66"/>
      <c r="Z20" s="66">
        <v>35</v>
      </c>
      <c r="AA20" s="67">
        <v>33.92</v>
      </c>
      <c r="AB20" s="66"/>
      <c r="AC20" s="66">
        <v>34</v>
      </c>
      <c r="AD20" s="67">
        <v>33</v>
      </c>
      <c r="AE20" s="66"/>
      <c r="AF20" s="66">
        <v>37</v>
      </c>
      <c r="AG20" s="67">
        <v>35</v>
      </c>
      <c r="AH20" s="66"/>
      <c r="AI20" s="66">
        <v>39</v>
      </c>
      <c r="AJ20" s="67">
        <v>39</v>
      </c>
      <c r="AK20" s="66"/>
      <c r="AL20" s="66">
        <v>40</v>
      </c>
      <c r="AM20" s="67">
        <v>38.86</v>
      </c>
      <c r="AN20" s="138"/>
      <c r="AO20" s="66">
        <v>42</v>
      </c>
      <c r="AP20" s="69">
        <v>41.55</v>
      </c>
      <c r="AQ20" s="69"/>
      <c r="AR20" s="66">
        <v>40</v>
      </c>
      <c r="AS20" s="69">
        <v>38.9</v>
      </c>
      <c r="AT20" s="69"/>
      <c r="AU20" s="70">
        <v>46</v>
      </c>
      <c r="AV20" s="71">
        <v>45.45</v>
      </c>
      <c r="AW20" s="71"/>
      <c r="AX20" s="66">
        <v>50</v>
      </c>
      <c r="AY20" s="69">
        <v>48.95</v>
      </c>
      <c r="AZ20" s="69"/>
      <c r="BA20" s="70">
        <v>55</v>
      </c>
      <c r="BB20" s="71">
        <v>53.8</v>
      </c>
      <c r="BC20" s="71"/>
      <c r="BE20" s="66">
        <v>61</v>
      </c>
      <c r="BF20" s="69">
        <v>59.857100000000003</v>
      </c>
      <c r="BG20" s="69"/>
    </row>
    <row r="21" spans="1:59" s="73" customFormat="1" ht="12" customHeight="1">
      <c r="A21" s="72"/>
      <c r="B21" s="127" t="s">
        <v>19</v>
      </c>
      <c r="C21" s="127"/>
      <c r="D21" s="127"/>
      <c r="E21" s="66">
        <v>0</v>
      </c>
      <c r="F21" s="66">
        <v>0</v>
      </c>
      <c r="G21" s="66"/>
      <c r="H21" s="66">
        <v>0</v>
      </c>
      <c r="I21" s="66">
        <v>0</v>
      </c>
      <c r="J21" s="66"/>
      <c r="K21" s="66">
        <v>0</v>
      </c>
      <c r="L21" s="66">
        <v>0</v>
      </c>
      <c r="M21" s="66"/>
      <c r="N21" s="66">
        <v>0</v>
      </c>
      <c r="O21" s="66">
        <v>0</v>
      </c>
      <c r="P21" s="66"/>
      <c r="Q21" s="66">
        <v>0</v>
      </c>
      <c r="R21" s="67">
        <v>0</v>
      </c>
      <c r="S21" s="66"/>
      <c r="T21" s="66">
        <v>1</v>
      </c>
      <c r="U21" s="67">
        <v>0.33</v>
      </c>
      <c r="V21" s="66"/>
      <c r="W21" s="66">
        <v>1</v>
      </c>
      <c r="X21" s="67">
        <v>0.33</v>
      </c>
      <c r="Y21" s="66"/>
      <c r="Z21" s="66">
        <v>1</v>
      </c>
      <c r="AA21" s="67">
        <v>0.33</v>
      </c>
      <c r="AB21" s="66"/>
      <c r="AC21" s="66">
        <v>1</v>
      </c>
      <c r="AD21" s="67">
        <v>0.33</v>
      </c>
      <c r="AE21" s="66"/>
      <c r="AF21" s="66">
        <v>1</v>
      </c>
      <c r="AG21" s="67">
        <v>0.33</v>
      </c>
      <c r="AH21" s="66"/>
      <c r="AI21" s="66">
        <v>1</v>
      </c>
      <c r="AJ21" s="67">
        <v>0.33</v>
      </c>
      <c r="AK21" s="66"/>
      <c r="AL21" s="66">
        <v>1</v>
      </c>
      <c r="AM21" s="67">
        <v>0.33</v>
      </c>
      <c r="AN21" s="138"/>
      <c r="AO21" s="66">
        <v>0</v>
      </c>
      <c r="AP21" s="69">
        <v>0</v>
      </c>
      <c r="AQ21" s="69"/>
      <c r="AR21" s="66">
        <v>0</v>
      </c>
      <c r="AS21" s="69">
        <v>0</v>
      </c>
      <c r="AT21" s="69"/>
      <c r="AU21" s="70">
        <v>0</v>
      </c>
      <c r="AV21" s="71">
        <v>0</v>
      </c>
      <c r="AW21" s="71"/>
      <c r="AX21" s="66">
        <v>0</v>
      </c>
      <c r="AY21" s="69">
        <v>0</v>
      </c>
      <c r="AZ21" s="69"/>
      <c r="BA21" s="70">
        <v>0</v>
      </c>
      <c r="BB21" s="71">
        <v>0</v>
      </c>
      <c r="BC21" s="71"/>
      <c r="BE21" s="66">
        <v>0</v>
      </c>
      <c r="BF21" s="69">
        <v>0</v>
      </c>
      <c r="BG21" s="69"/>
    </row>
    <row r="22" spans="1:59" s="65" customFormat="1" ht="12" customHeight="1">
      <c r="B22" s="127" t="s">
        <v>15</v>
      </c>
      <c r="C22" s="127"/>
      <c r="D22" s="127"/>
      <c r="E22" s="66">
        <v>16</v>
      </c>
      <c r="F22" s="66">
        <v>16.190000000000001</v>
      </c>
      <c r="G22" s="66"/>
      <c r="H22" s="66">
        <v>14</v>
      </c>
      <c r="I22" s="66">
        <v>14.89</v>
      </c>
      <c r="J22" s="66"/>
      <c r="K22" s="66">
        <v>15</v>
      </c>
      <c r="L22" s="66">
        <v>14.8</v>
      </c>
      <c r="M22" s="66"/>
      <c r="N22" s="66">
        <v>14</v>
      </c>
      <c r="O22" s="66">
        <v>13.98</v>
      </c>
      <c r="P22" s="66"/>
      <c r="Q22" s="66">
        <v>14</v>
      </c>
      <c r="R22" s="67">
        <v>13.96</v>
      </c>
      <c r="S22" s="66"/>
      <c r="T22" s="66">
        <v>12</v>
      </c>
      <c r="U22" s="67">
        <v>12.56</v>
      </c>
      <c r="V22" s="66"/>
      <c r="W22" s="66">
        <v>12</v>
      </c>
      <c r="X22" s="67">
        <v>12.56</v>
      </c>
      <c r="Y22" s="66"/>
      <c r="Z22" s="66">
        <v>10</v>
      </c>
      <c r="AA22" s="67">
        <v>10.56</v>
      </c>
      <c r="AB22" s="66"/>
      <c r="AC22" s="66">
        <v>10</v>
      </c>
      <c r="AD22" s="67">
        <v>10.56</v>
      </c>
      <c r="AE22" s="66"/>
      <c r="AF22" s="66">
        <v>10</v>
      </c>
      <c r="AG22" s="67">
        <v>10</v>
      </c>
      <c r="AH22" s="66"/>
      <c r="AI22" s="66">
        <v>9</v>
      </c>
      <c r="AJ22" s="67">
        <v>8</v>
      </c>
      <c r="AK22" s="66"/>
      <c r="AL22" s="66">
        <v>9</v>
      </c>
      <c r="AM22" s="67">
        <v>7.67</v>
      </c>
      <c r="AN22" s="138"/>
      <c r="AO22" s="66">
        <v>8</v>
      </c>
      <c r="AP22" s="69">
        <v>7.8</v>
      </c>
      <c r="AQ22" s="69"/>
      <c r="AR22" s="66">
        <v>8</v>
      </c>
      <c r="AS22" s="69">
        <v>7.8</v>
      </c>
      <c r="AT22" s="69"/>
      <c r="AU22" s="70">
        <v>6</v>
      </c>
      <c r="AV22" s="71">
        <v>5.8</v>
      </c>
      <c r="AW22" s="71"/>
      <c r="AX22" s="66">
        <v>5</v>
      </c>
      <c r="AY22" s="69">
        <v>5</v>
      </c>
      <c r="AZ22" s="69"/>
      <c r="BA22" s="70">
        <v>3</v>
      </c>
      <c r="BB22" s="71">
        <v>3</v>
      </c>
      <c r="BC22" s="71"/>
      <c r="BE22" s="66">
        <v>2</v>
      </c>
      <c r="BF22" s="69">
        <v>2</v>
      </c>
      <c r="BG22" s="69"/>
    </row>
    <row r="23" spans="1:59" s="72" customFormat="1" ht="12" customHeight="1">
      <c r="B23" s="127" t="s">
        <v>21</v>
      </c>
      <c r="C23" s="127"/>
      <c r="D23" s="127"/>
      <c r="E23" s="66">
        <v>0</v>
      </c>
      <c r="F23" s="66">
        <v>0</v>
      </c>
      <c r="G23" s="66"/>
      <c r="H23" s="66">
        <v>0</v>
      </c>
      <c r="I23" s="66">
        <v>0</v>
      </c>
      <c r="J23" s="66"/>
      <c r="K23" s="66">
        <v>0</v>
      </c>
      <c r="L23" s="66">
        <v>0</v>
      </c>
      <c r="M23" s="66"/>
      <c r="N23" s="66">
        <v>0</v>
      </c>
      <c r="O23" s="66">
        <v>0</v>
      </c>
      <c r="P23" s="66"/>
      <c r="Q23" s="66">
        <v>0</v>
      </c>
      <c r="R23" s="67">
        <v>0</v>
      </c>
      <c r="S23" s="66"/>
      <c r="T23" s="66">
        <v>0</v>
      </c>
      <c r="U23" s="67">
        <v>0</v>
      </c>
      <c r="V23" s="66"/>
      <c r="W23" s="66">
        <v>0</v>
      </c>
      <c r="X23" s="67">
        <v>0</v>
      </c>
      <c r="Y23" s="66"/>
      <c r="Z23" s="66">
        <v>0</v>
      </c>
      <c r="AA23" s="67">
        <v>0</v>
      </c>
      <c r="AB23" s="66"/>
      <c r="AC23" s="66">
        <v>0</v>
      </c>
      <c r="AD23" s="67">
        <v>0</v>
      </c>
      <c r="AE23" s="66"/>
      <c r="AF23" s="66">
        <v>0</v>
      </c>
      <c r="AG23" s="67">
        <v>0</v>
      </c>
      <c r="AH23" s="66"/>
      <c r="AI23" s="66">
        <v>0</v>
      </c>
      <c r="AJ23" s="67">
        <v>0</v>
      </c>
      <c r="AK23" s="66"/>
      <c r="AL23" s="66">
        <v>0</v>
      </c>
      <c r="AM23" s="67">
        <v>0</v>
      </c>
      <c r="AN23" s="138"/>
      <c r="AO23" s="66">
        <v>0</v>
      </c>
      <c r="AP23" s="69">
        <v>0</v>
      </c>
      <c r="AQ23" s="69"/>
      <c r="AR23" s="66">
        <v>0</v>
      </c>
      <c r="AS23" s="69">
        <v>0</v>
      </c>
      <c r="AT23" s="69"/>
      <c r="AU23" s="70">
        <v>0</v>
      </c>
      <c r="AV23" s="71">
        <v>0</v>
      </c>
      <c r="AW23" s="71"/>
      <c r="AX23" s="66">
        <v>0</v>
      </c>
      <c r="AY23" s="69">
        <v>0</v>
      </c>
      <c r="AZ23" s="69"/>
      <c r="BA23" s="70">
        <v>0</v>
      </c>
      <c r="BB23" s="71">
        <v>0</v>
      </c>
      <c r="BC23" s="71"/>
      <c r="BE23" s="66">
        <v>0</v>
      </c>
      <c r="BF23" s="69">
        <v>0</v>
      </c>
      <c r="BG23" s="69"/>
    </row>
    <row r="24" spans="1:59" s="72" customFormat="1" ht="12" customHeight="1">
      <c r="B24" s="127" t="s">
        <v>20</v>
      </c>
      <c r="C24" s="127"/>
      <c r="D24" s="127"/>
      <c r="E24" s="66">
        <v>61</v>
      </c>
      <c r="F24" s="66">
        <v>14.83</v>
      </c>
      <c r="G24" s="66"/>
      <c r="H24" s="66">
        <v>66</v>
      </c>
      <c r="I24" s="66">
        <v>15.14</v>
      </c>
      <c r="J24" s="66"/>
      <c r="K24" s="66">
        <v>74</v>
      </c>
      <c r="L24" s="66">
        <v>15.44</v>
      </c>
      <c r="M24" s="66"/>
      <c r="N24" s="66">
        <v>47</v>
      </c>
      <c r="O24" s="66">
        <v>15.5</v>
      </c>
      <c r="P24" s="66"/>
      <c r="Q24" s="66">
        <v>44</v>
      </c>
      <c r="R24" s="67">
        <v>16.059999999999999</v>
      </c>
      <c r="S24" s="66"/>
      <c r="T24" s="66">
        <v>42</v>
      </c>
      <c r="U24" s="67">
        <v>14.88</v>
      </c>
      <c r="V24" s="66"/>
      <c r="W24" s="66">
        <v>43</v>
      </c>
      <c r="X24" s="67">
        <v>14.36</v>
      </c>
      <c r="Y24" s="66"/>
      <c r="Z24" s="66">
        <v>45</v>
      </c>
      <c r="AA24" s="67">
        <v>13.18</v>
      </c>
      <c r="AB24" s="66"/>
      <c r="AC24" s="66">
        <v>51</v>
      </c>
      <c r="AD24" s="67">
        <v>18</v>
      </c>
      <c r="AE24" s="66"/>
      <c r="AF24" s="66">
        <v>53</v>
      </c>
      <c r="AG24" s="67">
        <v>19</v>
      </c>
      <c r="AH24" s="66"/>
      <c r="AI24" s="66">
        <v>60</v>
      </c>
      <c r="AJ24" s="67">
        <v>20</v>
      </c>
      <c r="AK24" s="66"/>
      <c r="AL24" s="66">
        <v>63</v>
      </c>
      <c r="AM24" s="67">
        <v>21.96</v>
      </c>
      <c r="AN24" s="138"/>
      <c r="AO24" s="66">
        <v>65</v>
      </c>
      <c r="AP24" s="69">
        <v>23.88</v>
      </c>
      <c r="AQ24" s="69"/>
      <c r="AR24" s="66">
        <v>95</v>
      </c>
      <c r="AS24" s="69">
        <v>37.25</v>
      </c>
      <c r="AT24" s="69"/>
      <c r="AU24" s="70">
        <v>101</v>
      </c>
      <c r="AV24" s="71">
        <v>39.25</v>
      </c>
      <c r="AW24" s="71"/>
      <c r="AX24" s="66">
        <v>97</v>
      </c>
      <c r="AY24" s="69">
        <v>38</v>
      </c>
      <c r="AZ24" s="69"/>
      <c r="BA24" s="70">
        <v>111</v>
      </c>
      <c r="BB24" s="71">
        <v>42</v>
      </c>
      <c r="BC24" s="71"/>
      <c r="BE24" s="66">
        <v>113</v>
      </c>
      <c r="BF24" s="69">
        <v>46.25</v>
      </c>
      <c r="BG24" s="69"/>
    </row>
    <row r="25" spans="1:59" s="18" customFormat="1" ht="12" customHeight="1"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6"/>
      <c r="T25" s="36"/>
      <c r="U25" s="37"/>
      <c r="V25" s="36"/>
      <c r="W25" s="36"/>
      <c r="X25" s="37"/>
      <c r="Y25" s="36"/>
      <c r="Z25" s="36"/>
      <c r="AA25" s="37"/>
      <c r="AB25" s="36"/>
      <c r="AC25" s="36"/>
      <c r="AD25" s="37"/>
      <c r="AE25" s="36"/>
      <c r="AF25" s="36"/>
      <c r="AG25" s="37"/>
      <c r="AH25" s="36"/>
      <c r="AI25" s="36"/>
      <c r="AJ25" s="37"/>
      <c r="AK25" s="36"/>
      <c r="AL25" s="36"/>
      <c r="AM25" s="37"/>
      <c r="AN25" s="138"/>
      <c r="AO25" s="36"/>
      <c r="AP25" s="30"/>
      <c r="AQ25" s="30"/>
      <c r="AR25" s="36"/>
      <c r="AS25" s="30"/>
      <c r="AT25" s="30"/>
      <c r="AU25" s="70"/>
      <c r="AV25" s="71"/>
      <c r="AW25" s="71"/>
      <c r="AX25" s="66"/>
      <c r="AY25" s="69"/>
      <c r="AZ25" s="69"/>
      <c r="BA25" s="70"/>
      <c r="BB25" s="71"/>
      <c r="BC25" s="71"/>
      <c r="BD25" s="73"/>
      <c r="BE25" s="66"/>
      <c r="BF25" s="69"/>
      <c r="BG25" s="69"/>
    </row>
    <row r="26" spans="1:59" s="22" customFormat="1" ht="12" customHeight="1">
      <c r="A26" s="137" t="s">
        <v>2</v>
      </c>
      <c r="B26" s="137"/>
      <c r="C26" s="137"/>
      <c r="D26" s="137"/>
      <c r="E26" s="43">
        <f t="shared" ref="E26:AM26" si="10">SUM(E27:E33)</f>
        <v>241</v>
      </c>
      <c r="F26" s="43">
        <f t="shared" si="10"/>
        <v>155.18</v>
      </c>
      <c r="G26" s="43">
        <f t="shared" si="10"/>
        <v>0</v>
      </c>
      <c r="H26" s="43">
        <f t="shared" si="10"/>
        <v>250</v>
      </c>
      <c r="I26" s="43">
        <f t="shared" si="10"/>
        <v>152.28000000000003</v>
      </c>
      <c r="J26" s="43">
        <f t="shared" si="10"/>
        <v>0</v>
      </c>
      <c r="K26" s="43">
        <f t="shared" si="10"/>
        <v>256</v>
      </c>
      <c r="L26" s="43">
        <f t="shared" si="10"/>
        <v>158.03</v>
      </c>
      <c r="M26" s="43">
        <f t="shared" si="10"/>
        <v>0</v>
      </c>
      <c r="N26" s="43">
        <f t="shared" si="10"/>
        <v>222</v>
      </c>
      <c r="O26" s="43">
        <f t="shared" si="10"/>
        <v>152.15</v>
      </c>
      <c r="P26" s="43">
        <f t="shared" si="10"/>
        <v>0</v>
      </c>
      <c r="Q26" s="43">
        <f t="shared" si="10"/>
        <v>229</v>
      </c>
      <c r="R26" s="43">
        <f t="shared" si="10"/>
        <v>157.17000000000004</v>
      </c>
      <c r="S26" s="43">
        <f t="shared" si="10"/>
        <v>0</v>
      </c>
      <c r="T26" s="43">
        <f t="shared" si="10"/>
        <v>222</v>
      </c>
      <c r="U26" s="43">
        <f t="shared" si="10"/>
        <v>156.35</v>
      </c>
      <c r="V26" s="43">
        <f t="shared" si="10"/>
        <v>0</v>
      </c>
      <c r="W26" s="43">
        <f t="shared" si="10"/>
        <v>213</v>
      </c>
      <c r="X26" s="43">
        <f t="shared" si="10"/>
        <v>154.77000000000001</v>
      </c>
      <c r="Y26" s="43">
        <f t="shared" si="10"/>
        <v>0</v>
      </c>
      <c r="Z26" s="43">
        <f t="shared" si="10"/>
        <v>212</v>
      </c>
      <c r="AA26" s="43">
        <f t="shared" si="10"/>
        <v>153.85999999999999</v>
      </c>
      <c r="AB26" s="43">
        <f t="shared" si="10"/>
        <v>0</v>
      </c>
      <c r="AC26" s="43">
        <f t="shared" si="10"/>
        <v>211</v>
      </c>
      <c r="AD26" s="43">
        <f t="shared" si="10"/>
        <v>157</v>
      </c>
      <c r="AE26" s="43">
        <f t="shared" si="10"/>
        <v>0</v>
      </c>
      <c r="AF26" s="43">
        <f t="shared" si="10"/>
        <v>222</v>
      </c>
      <c r="AG26" s="43">
        <f t="shared" si="10"/>
        <v>156</v>
      </c>
      <c r="AH26" s="43">
        <f t="shared" si="10"/>
        <v>0</v>
      </c>
      <c r="AI26" s="43">
        <f t="shared" si="10"/>
        <v>236</v>
      </c>
      <c r="AJ26" s="43">
        <f t="shared" si="10"/>
        <v>155</v>
      </c>
      <c r="AK26" s="43">
        <f t="shared" si="10"/>
        <v>0</v>
      </c>
      <c r="AL26" s="43">
        <f t="shared" si="10"/>
        <v>262</v>
      </c>
      <c r="AM26" s="43">
        <f t="shared" si="10"/>
        <v>168.92</v>
      </c>
      <c r="AN26" s="138"/>
      <c r="AO26" s="43">
        <f t="shared" ref="AO26:AP26" si="11">SUM(AO27:AO33)</f>
        <v>280</v>
      </c>
      <c r="AP26" s="31">
        <f t="shared" si="11"/>
        <v>189.34</v>
      </c>
      <c r="AQ26" s="31"/>
      <c r="AR26" s="43">
        <f t="shared" ref="AR26:AS26" si="12">SUM(AR27:AR33)</f>
        <v>311</v>
      </c>
      <c r="AS26" s="31">
        <f t="shared" si="12"/>
        <v>201.94</v>
      </c>
      <c r="AT26" s="31"/>
      <c r="AU26" s="85">
        <f t="shared" ref="AU26:AV26" si="13">SUM(AU27:AU33)</f>
        <v>315</v>
      </c>
      <c r="AV26" s="86">
        <f t="shared" si="13"/>
        <v>206.59</v>
      </c>
      <c r="AW26" s="86"/>
      <c r="AX26" s="87">
        <f t="shared" ref="AX26:AY26" si="14">SUM(AX27:AX33)</f>
        <v>298</v>
      </c>
      <c r="AY26" s="88">
        <f t="shared" si="14"/>
        <v>199.37</v>
      </c>
      <c r="AZ26" s="88"/>
      <c r="BA26" s="85">
        <f>SUM(BA27:BA33)</f>
        <v>298</v>
      </c>
      <c r="BB26" s="86">
        <f>SUM(BB27:BB33)</f>
        <v>198.54999999999998</v>
      </c>
      <c r="BC26" s="86"/>
      <c r="BD26" s="90"/>
      <c r="BE26" s="87">
        <f>SUM(BE27:BE33)</f>
        <v>300</v>
      </c>
      <c r="BF26" s="125">
        <f>SUM(BF27:BF33)</f>
        <v>200.88030000000001</v>
      </c>
      <c r="BG26" s="88"/>
    </row>
    <row r="27" spans="1:59" s="23" customFormat="1" ht="12" customHeight="1">
      <c r="A27" s="72"/>
      <c r="B27" s="127" t="s">
        <v>17</v>
      </c>
      <c r="C27" s="127"/>
      <c r="D27" s="127"/>
      <c r="E27" s="36">
        <v>81</v>
      </c>
      <c r="F27" s="36">
        <v>74</v>
      </c>
      <c r="G27" s="36"/>
      <c r="H27" s="36">
        <v>80</v>
      </c>
      <c r="I27" s="36">
        <v>73.900000000000006</v>
      </c>
      <c r="J27" s="36"/>
      <c r="K27" s="36">
        <v>82</v>
      </c>
      <c r="L27" s="36">
        <v>77</v>
      </c>
      <c r="M27" s="36"/>
      <c r="N27" s="36">
        <v>80</v>
      </c>
      <c r="O27" s="36">
        <v>77</v>
      </c>
      <c r="P27" s="36"/>
      <c r="Q27" s="36">
        <f>49+37</f>
        <v>86</v>
      </c>
      <c r="R27" s="37">
        <f>44.93+35.31</f>
        <v>80.240000000000009</v>
      </c>
      <c r="S27" s="36"/>
      <c r="T27" s="36">
        <f>55+29</f>
        <v>84</v>
      </c>
      <c r="U27" s="37">
        <f>52.05+27.81</f>
        <v>79.86</v>
      </c>
      <c r="V27" s="36"/>
      <c r="W27" s="36">
        <f>61+25</f>
        <v>86</v>
      </c>
      <c r="X27" s="37">
        <f>56.42+23.31</f>
        <v>79.73</v>
      </c>
      <c r="Y27" s="36"/>
      <c r="Z27" s="36">
        <f>60+22</f>
        <v>82</v>
      </c>
      <c r="AA27" s="37">
        <f>56.56+20</f>
        <v>76.56</v>
      </c>
      <c r="AB27" s="36"/>
      <c r="AC27" s="36">
        <v>83</v>
      </c>
      <c r="AD27" s="37">
        <v>79</v>
      </c>
      <c r="AE27" s="36"/>
      <c r="AF27" s="36">
        <v>82</v>
      </c>
      <c r="AG27" s="37">
        <v>78</v>
      </c>
      <c r="AH27" s="36"/>
      <c r="AI27" s="36">
        <v>80</v>
      </c>
      <c r="AJ27" s="37">
        <v>75</v>
      </c>
      <c r="AK27" s="36"/>
      <c r="AL27" s="36">
        <v>84</v>
      </c>
      <c r="AM27" s="37">
        <v>76.86</v>
      </c>
      <c r="AN27" s="138"/>
      <c r="AO27" s="36">
        <v>84</v>
      </c>
      <c r="AP27" s="30">
        <v>81.17</v>
      </c>
      <c r="AQ27" s="30"/>
      <c r="AR27" s="36">
        <v>90</v>
      </c>
      <c r="AS27" s="30">
        <v>88.19</v>
      </c>
      <c r="AT27" s="30"/>
      <c r="AU27" s="70">
        <v>97</v>
      </c>
      <c r="AV27" s="71">
        <v>95.27</v>
      </c>
      <c r="AW27" s="71"/>
      <c r="AX27" s="66">
        <f>62+34</f>
        <v>96</v>
      </c>
      <c r="AY27" s="69">
        <v>94.27</v>
      </c>
      <c r="AZ27" s="69"/>
      <c r="BA27" s="70">
        <v>91</v>
      </c>
      <c r="BB27" s="71">
        <v>88.5</v>
      </c>
      <c r="BC27" s="71"/>
      <c r="BD27" s="91"/>
      <c r="BE27" s="66">
        <v>96</v>
      </c>
      <c r="BF27" s="69">
        <v>93.6</v>
      </c>
      <c r="BG27" s="69"/>
    </row>
    <row r="28" spans="1:59" s="18" customFormat="1" ht="12" customHeight="1">
      <c r="A28" s="65"/>
      <c r="B28" s="127" t="s">
        <v>40</v>
      </c>
      <c r="C28" s="127"/>
      <c r="D28" s="127"/>
      <c r="E28" s="36">
        <v>46</v>
      </c>
      <c r="F28" s="36">
        <v>30</v>
      </c>
      <c r="G28" s="36"/>
      <c r="H28" s="36">
        <v>41</v>
      </c>
      <c r="I28" s="36">
        <v>27.1</v>
      </c>
      <c r="J28" s="36"/>
      <c r="K28" s="36">
        <v>35</v>
      </c>
      <c r="L28" s="36">
        <v>26</v>
      </c>
      <c r="M28" s="36"/>
      <c r="N28" s="36">
        <v>35</v>
      </c>
      <c r="O28" s="36">
        <v>23</v>
      </c>
      <c r="P28" s="36"/>
      <c r="Q28" s="36">
        <f>120-49-37</f>
        <v>34</v>
      </c>
      <c r="R28" s="37">
        <f>103.29-44.93-35.31</f>
        <v>23.050000000000004</v>
      </c>
      <c r="S28" s="36"/>
      <c r="T28" s="36">
        <f>119-55-29</f>
        <v>35</v>
      </c>
      <c r="U28" s="37">
        <f>104.25-52.05-27.81</f>
        <v>24.390000000000004</v>
      </c>
      <c r="V28" s="36"/>
      <c r="W28" s="36">
        <f>114-W27</f>
        <v>28</v>
      </c>
      <c r="X28" s="37">
        <f>99.75-X27</f>
        <v>20.019999999999996</v>
      </c>
      <c r="Y28" s="36"/>
      <c r="Z28" s="36">
        <f>112-Z27</f>
        <v>30</v>
      </c>
      <c r="AA28" s="37">
        <f>100.2-AA27</f>
        <v>23.64</v>
      </c>
      <c r="AB28" s="36"/>
      <c r="AC28" s="36">
        <v>31</v>
      </c>
      <c r="AD28" s="37">
        <v>23</v>
      </c>
      <c r="AE28" s="36"/>
      <c r="AF28" s="36">
        <v>35</v>
      </c>
      <c r="AG28" s="37">
        <v>24</v>
      </c>
      <c r="AH28" s="36"/>
      <c r="AI28" s="36">
        <v>40</v>
      </c>
      <c r="AJ28" s="37">
        <v>30</v>
      </c>
      <c r="AK28" s="36"/>
      <c r="AL28" s="36">
        <v>47</v>
      </c>
      <c r="AM28" s="37">
        <v>36.770000000000003</v>
      </c>
      <c r="AN28" s="138"/>
      <c r="AO28" s="36">
        <v>46</v>
      </c>
      <c r="AP28" s="30">
        <v>38.130000000000003</v>
      </c>
      <c r="AQ28" s="30"/>
      <c r="AR28" s="36">
        <v>39</v>
      </c>
      <c r="AS28" s="30">
        <v>32.07</v>
      </c>
      <c r="AT28" s="30"/>
      <c r="AU28" s="70">
        <v>39</v>
      </c>
      <c r="AV28" s="71">
        <v>29.85</v>
      </c>
      <c r="AW28" s="71"/>
      <c r="AX28" s="66">
        <v>43</v>
      </c>
      <c r="AY28" s="69">
        <v>32.630000000000003</v>
      </c>
      <c r="AZ28" s="69"/>
      <c r="BA28" s="70">
        <v>48</v>
      </c>
      <c r="BB28" s="71">
        <v>35.869999999999997</v>
      </c>
      <c r="BC28" s="71"/>
      <c r="BD28" s="73"/>
      <c r="BE28" s="66">
        <v>45</v>
      </c>
      <c r="BF28" s="69">
        <v>34.866700000000002</v>
      </c>
      <c r="BG28" s="69"/>
    </row>
    <row r="29" spans="1:59" s="19" customFormat="1" ht="12" customHeight="1">
      <c r="A29" s="72"/>
      <c r="B29" s="127" t="s">
        <v>18</v>
      </c>
      <c r="C29" s="127"/>
      <c r="D29" s="127"/>
      <c r="E29" s="36">
        <v>21</v>
      </c>
      <c r="F29" s="36">
        <v>19.53</v>
      </c>
      <c r="G29" s="36"/>
      <c r="H29" s="36">
        <v>23</v>
      </c>
      <c r="I29" s="36">
        <v>21.36</v>
      </c>
      <c r="J29" s="36"/>
      <c r="K29" s="36">
        <v>26</v>
      </c>
      <c r="L29" s="36">
        <v>23.41</v>
      </c>
      <c r="M29" s="36"/>
      <c r="N29" s="36">
        <v>26</v>
      </c>
      <c r="O29" s="36">
        <v>23.75</v>
      </c>
      <c r="P29" s="36"/>
      <c r="Q29" s="36">
        <v>25</v>
      </c>
      <c r="R29" s="37">
        <v>23.12</v>
      </c>
      <c r="S29" s="36"/>
      <c r="T29" s="36">
        <v>26</v>
      </c>
      <c r="U29" s="37">
        <v>25.1</v>
      </c>
      <c r="V29" s="36"/>
      <c r="W29" s="36">
        <v>29</v>
      </c>
      <c r="X29" s="37">
        <v>28.68</v>
      </c>
      <c r="Y29" s="36"/>
      <c r="Z29" s="36">
        <v>30</v>
      </c>
      <c r="AA29" s="37">
        <v>29.84</v>
      </c>
      <c r="AB29" s="36"/>
      <c r="AC29" s="36">
        <v>33</v>
      </c>
      <c r="AD29" s="37">
        <v>32</v>
      </c>
      <c r="AE29" s="36"/>
      <c r="AF29" s="36">
        <v>29</v>
      </c>
      <c r="AG29" s="37">
        <v>30</v>
      </c>
      <c r="AH29" s="36"/>
      <c r="AI29" s="36">
        <v>23</v>
      </c>
      <c r="AJ29" s="37">
        <v>23</v>
      </c>
      <c r="AK29" s="36"/>
      <c r="AL29" s="36">
        <v>25</v>
      </c>
      <c r="AM29" s="37">
        <v>26.25</v>
      </c>
      <c r="AN29" s="138"/>
      <c r="AO29" s="36">
        <v>32</v>
      </c>
      <c r="AP29" s="30">
        <v>28.84</v>
      </c>
      <c r="AQ29" s="30"/>
      <c r="AR29" s="36">
        <v>33</v>
      </c>
      <c r="AS29" s="30">
        <v>30.18</v>
      </c>
      <c r="AT29" s="30"/>
      <c r="AU29" s="70">
        <v>36</v>
      </c>
      <c r="AV29" s="71">
        <v>33.72</v>
      </c>
      <c r="AW29" s="71"/>
      <c r="AX29" s="66">
        <v>35</v>
      </c>
      <c r="AY29" s="69">
        <v>32.72</v>
      </c>
      <c r="AZ29" s="69"/>
      <c r="BA29" s="70">
        <v>36</v>
      </c>
      <c r="BB29" s="71">
        <v>32.83</v>
      </c>
      <c r="BC29" s="71"/>
      <c r="BD29" s="65"/>
      <c r="BE29" s="66">
        <v>38</v>
      </c>
      <c r="BF29" s="69">
        <v>35.424999999999997</v>
      </c>
      <c r="BG29" s="69"/>
    </row>
    <row r="30" spans="1:59" s="19" customFormat="1" ht="12" customHeight="1">
      <c r="A30" s="65"/>
      <c r="B30" s="127" t="s">
        <v>19</v>
      </c>
      <c r="C30" s="127"/>
      <c r="D30" s="127"/>
      <c r="E30" s="36">
        <v>0</v>
      </c>
      <c r="F30" s="36">
        <v>0</v>
      </c>
      <c r="G30" s="36"/>
      <c r="H30" s="36">
        <v>0</v>
      </c>
      <c r="I30" s="36">
        <v>0</v>
      </c>
      <c r="J30" s="36"/>
      <c r="K30" s="36">
        <v>0</v>
      </c>
      <c r="L30" s="36">
        <v>0</v>
      </c>
      <c r="M30" s="36"/>
      <c r="N30" s="36">
        <v>3</v>
      </c>
      <c r="O30" s="36">
        <v>1</v>
      </c>
      <c r="P30" s="36"/>
      <c r="Q30" s="36">
        <v>1</v>
      </c>
      <c r="R30" s="37">
        <v>0.18</v>
      </c>
      <c r="S30" s="36"/>
      <c r="T30" s="36">
        <v>0</v>
      </c>
      <c r="U30" s="37">
        <v>0</v>
      </c>
      <c r="V30" s="36"/>
      <c r="W30" s="36">
        <v>0</v>
      </c>
      <c r="X30" s="37">
        <v>0</v>
      </c>
      <c r="Y30" s="36"/>
      <c r="Z30" s="36">
        <v>0</v>
      </c>
      <c r="AA30" s="37">
        <v>0</v>
      </c>
      <c r="AB30" s="36"/>
      <c r="AC30" s="36">
        <v>1</v>
      </c>
      <c r="AD30" s="37">
        <v>1</v>
      </c>
      <c r="AE30" s="36"/>
      <c r="AF30" s="36">
        <v>1</v>
      </c>
      <c r="AG30" s="37">
        <v>0</v>
      </c>
      <c r="AH30" s="36"/>
      <c r="AI30" s="36">
        <v>0</v>
      </c>
      <c r="AJ30" s="37">
        <v>0</v>
      </c>
      <c r="AK30" s="36"/>
      <c r="AL30" s="36">
        <v>0</v>
      </c>
      <c r="AM30" s="37">
        <v>0</v>
      </c>
      <c r="AN30" s="138"/>
      <c r="AO30" s="36">
        <v>0</v>
      </c>
      <c r="AP30" s="30">
        <v>0</v>
      </c>
      <c r="AQ30" s="30"/>
      <c r="AR30" s="36">
        <v>0</v>
      </c>
      <c r="AS30" s="30">
        <v>0</v>
      </c>
      <c r="AT30" s="30"/>
      <c r="AU30" s="70">
        <v>0</v>
      </c>
      <c r="AV30" s="71">
        <v>0</v>
      </c>
      <c r="AW30" s="71"/>
      <c r="AX30" s="66">
        <v>0</v>
      </c>
      <c r="AY30" s="69">
        <v>0</v>
      </c>
      <c r="AZ30" s="69"/>
      <c r="BA30" s="70">
        <v>0</v>
      </c>
      <c r="BB30" s="71">
        <v>0</v>
      </c>
      <c r="BC30" s="71"/>
      <c r="BD30" s="65"/>
      <c r="BE30" s="66">
        <v>0</v>
      </c>
      <c r="BF30" s="69">
        <v>0</v>
      </c>
      <c r="BG30" s="69"/>
    </row>
    <row r="31" spans="1:59" s="19" customFormat="1" ht="12" customHeight="1">
      <c r="A31" s="65"/>
      <c r="B31" s="127" t="s">
        <v>15</v>
      </c>
      <c r="C31" s="127"/>
      <c r="D31" s="127"/>
      <c r="E31" s="36">
        <v>12</v>
      </c>
      <c r="F31" s="36">
        <v>11.5</v>
      </c>
      <c r="G31" s="36"/>
      <c r="H31" s="36">
        <v>9</v>
      </c>
      <c r="I31" s="36">
        <v>8.75</v>
      </c>
      <c r="J31" s="36"/>
      <c r="K31" s="36">
        <v>9</v>
      </c>
      <c r="L31" s="36">
        <v>8.8000000000000007</v>
      </c>
      <c r="M31" s="36"/>
      <c r="N31" s="36">
        <v>7</v>
      </c>
      <c r="O31" s="36">
        <v>6.75</v>
      </c>
      <c r="P31" s="36"/>
      <c r="Q31" s="36">
        <v>8</v>
      </c>
      <c r="R31" s="37">
        <v>7.37</v>
      </c>
      <c r="S31" s="36"/>
      <c r="T31" s="36">
        <v>7</v>
      </c>
      <c r="U31" s="37">
        <v>6.37</v>
      </c>
      <c r="V31" s="36"/>
      <c r="W31" s="36">
        <v>7</v>
      </c>
      <c r="X31" s="37">
        <v>6.37</v>
      </c>
      <c r="Y31" s="36"/>
      <c r="Z31" s="36">
        <v>7</v>
      </c>
      <c r="AA31" s="37">
        <v>6.37</v>
      </c>
      <c r="AB31" s="36"/>
      <c r="AC31" s="36">
        <v>5</v>
      </c>
      <c r="AD31" s="37">
        <v>5</v>
      </c>
      <c r="AE31" s="36"/>
      <c r="AF31" s="36">
        <v>4</v>
      </c>
      <c r="AG31" s="37">
        <v>4</v>
      </c>
      <c r="AH31" s="36"/>
      <c r="AI31" s="36">
        <v>4</v>
      </c>
      <c r="AJ31" s="37">
        <v>4</v>
      </c>
      <c r="AK31" s="36"/>
      <c r="AL31" s="36">
        <v>4</v>
      </c>
      <c r="AM31" s="37">
        <v>4</v>
      </c>
      <c r="AN31" s="138"/>
      <c r="AO31" s="36">
        <v>3</v>
      </c>
      <c r="AP31" s="30">
        <v>3</v>
      </c>
      <c r="AQ31" s="30"/>
      <c r="AR31" s="36">
        <v>4</v>
      </c>
      <c r="AS31" s="30">
        <v>4</v>
      </c>
      <c r="AT31" s="30"/>
      <c r="AU31" s="70">
        <v>4</v>
      </c>
      <c r="AV31" s="71">
        <v>4</v>
      </c>
      <c r="AW31" s="71"/>
      <c r="AX31" s="66">
        <v>4</v>
      </c>
      <c r="AY31" s="69">
        <v>4</v>
      </c>
      <c r="AZ31" s="69"/>
      <c r="BA31" s="70">
        <v>4</v>
      </c>
      <c r="BB31" s="71">
        <v>4</v>
      </c>
      <c r="BC31" s="71"/>
      <c r="BD31" s="65"/>
      <c r="BE31" s="66">
        <v>2</v>
      </c>
      <c r="BF31" s="69">
        <v>2</v>
      </c>
      <c r="BG31" s="69"/>
    </row>
    <row r="32" spans="1:59" s="20" customFormat="1" ht="12" customHeight="1">
      <c r="A32" s="65"/>
      <c r="B32" s="127" t="s">
        <v>21</v>
      </c>
      <c r="C32" s="127"/>
      <c r="D32" s="127"/>
      <c r="E32" s="36">
        <v>0</v>
      </c>
      <c r="F32" s="36">
        <v>0</v>
      </c>
      <c r="G32" s="36"/>
      <c r="H32" s="36">
        <v>0</v>
      </c>
      <c r="I32" s="36">
        <v>0</v>
      </c>
      <c r="J32" s="36"/>
      <c r="K32" s="36">
        <v>1</v>
      </c>
      <c r="L32" s="36">
        <v>1</v>
      </c>
      <c r="M32" s="36"/>
      <c r="N32" s="36">
        <v>0</v>
      </c>
      <c r="O32" s="36">
        <v>0</v>
      </c>
      <c r="P32" s="36"/>
      <c r="Q32" s="36">
        <v>0</v>
      </c>
      <c r="R32" s="37">
        <v>0</v>
      </c>
      <c r="S32" s="36"/>
      <c r="T32" s="36">
        <v>0</v>
      </c>
      <c r="U32" s="37">
        <v>0</v>
      </c>
      <c r="V32" s="36"/>
      <c r="W32" s="36">
        <v>0</v>
      </c>
      <c r="X32" s="37">
        <v>0</v>
      </c>
      <c r="Y32" s="36"/>
      <c r="Z32" s="36">
        <v>0</v>
      </c>
      <c r="AA32" s="37">
        <v>0</v>
      </c>
      <c r="AB32" s="36"/>
      <c r="AC32" s="36">
        <v>1</v>
      </c>
      <c r="AD32" s="37">
        <v>1</v>
      </c>
      <c r="AE32" s="36"/>
      <c r="AF32" s="36">
        <v>0</v>
      </c>
      <c r="AG32" s="37">
        <v>0</v>
      </c>
      <c r="AH32" s="36"/>
      <c r="AI32" s="36">
        <v>0</v>
      </c>
      <c r="AJ32" s="37">
        <v>0</v>
      </c>
      <c r="AK32" s="36"/>
      <c r="AL32" s="36">
        <v>0</v>
      </c>
      <c r="AM32" s="37">
        <v>0</v>
      </c>
      <c r="AN32" s="138"/>
      <c r="AO32" s="36">
        <v>2</v>
      </c>
      <c r="AP32" s="30">
        <v>1.7</v>
      </c>
      <c r="AQ32" s="30"/>
      <c r="AR32" s="36">
        <v>1</v>
      </c>
      <c r="AS32" s="30">
        <v>1</v>
      </c>
      <c r="AT32" s="30"/>
      <c r="AU32" s="70">
        <v>2</v>
      </c>
      <c r="AV32" s="71">
        <v>2</v>
      </c>
      <c r="AW32" s="71"/>
      <c r="AX32" s="66">
        <v>0</v>
      </c>
      <c r="AY32" s="69">
        <v>0</v>
      </c>
      <c r="AZ32" s="69"/>
      <c r="BA32" s="70">
        <v>2</v>
      </c>
      <c r="BB32" s="71">
        <v>1.6</v>
      </c>
      <c r="BC32" s="71"/>
      <c r="BD32" s="72"/>
      <c r="BE32" s="66">
        <v>1</v>
      </c>
      <c r="BF32" s="69">
        <v>1</v>
      </c>
      <c r="BG32" s="69"/>
    </row>
    <row r="33" spans="1:59" s="18" customFormat="1" ht="12" customHeight="1">
      <c r="A33" s="73"/>
      <c r="B33" s="127" t="s">
        <v>20</v>
      </c>
      <c r="C33" s="127"/>
      <c r="D33" s="127"/>
      <c r="E33" s="36">
        <v>81</v>
      </c>
      <c r="F33" s="36">
        <v>20.149999999999999</v>
      </c>
      <c r="G33" s="36"/>
      <c r="H33" s="36">
        <v>97</v>
      </c>
      <c r="I33" s="36">
        <v>21.17</v>
      </c>
      <c r="J33" s="36"/>
      <c r="K33" s="36">
        <v>103</v>
      </c>
      <c r="L33" s="36">
        <v>21.82</v>
      </c>
      <c r="M33" s="36"/>
      <c r="N33" s="36">
        <v>71</v>
      </c>
      <c r="O33" s="36">
        <v>20.65</v>
      </c>
      <c r="P33" s="36"/>
      <c r="Q33" s="36">
        <v>75</v>
      </c>
      <c r="R33" s="37">
        <v>23.21</v>
      </c>
      <c r="S33" s="36"/>
      <c r="T33" s="36">
        <v>70</v>
      </c>
      <c r="U33" s="37">
        <v>20.63</v>
      </c>
      <c r="V33" s="36"/>
      <c r="W33" s="36">
        <v>63</v>
      </c>
      <c r="X33" s="37">
        <v>19.97</v>
      </c>
      <c r="Y33" s="36"/>
      <c r="Z33" s="36">
        <v>63</v>
      </c>
      <c r="AA33" s="37">
        <v>17.45</v>
      </c>
      <c r="AB33" s="36"/>
      <c r="AC33" s="36">
        <v>57</v>
      </c>
      <c r="AD33" s="37">
        <v>16</v>
      </c>
      <c r="AE33" s="36"/>
      <c r="AF33" s="36">
        <v>71</v>
      </c>
      <c r="AG33" s="37">
        <v>20</v>
      </c>
      <c r="AH33" s="36"/>
      <c r="AI33" s="36">
        <v>89</v>
      </c>
      <c r="AJ33" s="37">
        <v>23</v>
      </c>
      <c r="AK33" s="36"/>
      <c r="AL33" s="36">
        <v>102</v>
      </c>
      <c r="AM33" s="37">
        <v>25.04</v>
      </c>
      <c r="AN33" s="138"/>
      <c r="AO33" s="36">
        <v>113</v>
      </c>
      <c r="AP33" s="30">
        <v>36.5</v>
      </c>
      <c r="AQ33" s="30"/>
      <c r="AR33" s="36">
        <v>144</v>
      </c>
      <c r="AS33" s="30">
        <v>46.5</v>
      </c>
      <c r="AT33" s="30"/>
      <c r="AU33" s="70">
        <v>137</v>
      </c>
      <c r="AV33" s="71">
        <v>41.75</v>
      </c>
      <c r="AW33" s="71"/>
      <c r="AX33" s="66">
        <v>120</v>
      </c>
      <c r="AY33" s="69">
        <v>35.75</v>
      </c>
      <c r="AZ33" s="69"/>
      <c r="BA33" s="70">
        <v>117</v>
      </c>
      <c r="BB33" s="71">
        <v>35.75</v>
      </c>
      <c r="BC33" s="71"/>
      <c r="BD33" s="73"/>
      <c r="BE33" s="66">
        <v>118</v>
      </c>
      <c r="BF33" s="69">
        <v>33.988599999999998</v>
      </c>
      <c r="BG33" s="69"/>
    </row>
    <row r="34" spans="1:59" s="24" customFormat="1" ht="12" customHeight="1">
      <c r="A34" s="47"/>
      <c r="B34" s="19"/>
      <c r="C34" s="46"/>
      <c r="D34" s="4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  <c r="S34" s="36"/>
      <c r="T34" s="36"/>
      <c r="U34" s="37"/>
      <c r="V34" s="36"/>
      <c r="W34" s="36"/>
      <c r="X34" s="37"/>
      <c r="Y34" s="36"/>
      <c r="Z34" s="36"/>
      <c r="AA34" s="37"/>
      <c r="AB34" s="36"/>
      <c r="AC34" s="36"/>
      <c r="AD34" s="37"/>
      <c r="AE34" s="36"/>
      <c r="AF34" s="36"/>
      <c r="AG34" s="37"/>
      <c r="AH34" s="36"/>
      <c r="AI34" s="36"/>
      <c r="AJ34" s="37"/>
      <c r="AK34" s="36"/>
      <c r="AL34" s="36"/>
      <c r="AM34" s="37"/>
      <c r="AN34" s="138"/>
      <c r="AO34" s="36"/>
      <c r="AP34" s="30"/>
      <c r="AQ34" s="30"/>
      <c r="AR34" s="36"/>
      <c r="AS34" s="30"/>
      <c r="AT34" s="30"/>
      <c r="AU34" s="70"/>
      <c r="AV34" s="71"/>
      <c r="AW34" s="71"/>
      <c r="AX34" s="66"/>
      <c r="AY34" s="69"/>
      <c r="AZ34" s="69"/>
      <c r="BA34" s="70"/>
      <c r="BB34" s="71"/>
      <c r="BC34" s="71"/>
      <c r="BD34" s="92"/>
      <c r="BE34" s="66"/>
      <c r="BF34" s="69"/>
      <c r="BG34" s="69"/>
    </row>
    <row r="35" spans="1:59" s="17" customFormat="1" ht="12" customHeight="1">
      <c r="A35" s="137" t="s">
        <v>3</v>
      </c>
      <c r="B35" s="137"/>
      <c r="C35" s="137"/>
      <c r="D35" s="137"/>
      <c r="E35" s="43">
        <f t="shared" ref="E35:AM35" si="15">SUM(E36:E42)</f>
        <v>903</v>
      </c>
      <c r="F35" s="43">
        <f t="shared" si="15"/>
        <v>512.18000000000006</v>
      </c>
      <c r="G35" s="43">
        <f t="shared" si="15"/>
        <v>0</v>
      </c>
      <c r="H35" s="43">
        <f t="shared" si="15"/>
        <v>918</v>
      </c>
      <c r="I35" s="43">
        <f t="shared" si="15"/>
        <v>513.73</v>
      </c>
      <c r="J35" s="43">
        <f t="shared" si="15"/>
        <v>0</v>
      </c>
      <c r="K35" s="43">
        <f t="shared" si="15"/>
        <v>1010</v>
      </c>
      <c r="L35" s="43">
        <f t="shared" si="15"/>
        <v>532.65</v>
      </c>
      <c r="M35" s="43">
        <f t="shared" si="15"/>
        <v>0</v>
      </c>
      <c r="N35" s="43">
        <f t="shared" si="15"/>
        <v>745</v>
      </c>
      <c r="O35" s="43">
        <f t="shared" si="15"/>
        <v>523.84</v>
      </c>
      <c r="P35" s="43">
        <f t="shared" si="15"/>
        <v>0</v>
      </c>
      <c r="Q35" s="43">
        <f t="shared" si="15"/>
        <v>714</v>
      </c>
      <c r="R35" s="43">
        <f t="shared" si="15"/>
        <v>513.45000000000005</v>
      </c>
      <c r="S35" s="43">
        <f t="shared" si="15"/>
        <v>0</v>
      </c>
      <c r="T35" s="43">
        <f t="shared" si="15"/>
        <v>725</v>
      </c>
      <c r="U35" s="43">
        <f t="shared" si="15"/>
        <v>515.09</v>
      </c>
      <c r="V35" s="43">
        <f t="shared" si="15"/>
        <v>0</v>
      </c>
      <c r="W35" s="43">
        <f t="shared" si="15"/>
        <v>726</v>
      </c>
      <c r="X35" s="43">
        <f t="shared" si="15"/>
        <v>521.98</v>
      </c>
      <c r="Y35" s="43">
        <f t="shared" si="15"/>
        <v>0</v>
      </c>
      <c r="Z35" s="43">
        <f t="shared" si="15"/>
        <v>774</v>
      </c>
      <c r="AA35" s="43">
        <f t="shared" si="15"/>
        <v>548.70000000000005</v>
      </c>
      <c r="AB35" s="43">
        <f t="shared" si="15"/>
        <v>0</v>
      </c>
      <c r="AC35" s="43">
        <f t="shared" si="15"/>
        <v>766</v>
      </c>
      <c r="AD35" s="43">
        <f t="shared" si="15"/>
        <v>541.63</v>
      </c>
      <c r="AE35" s="43">
        <f t="shared" si="15"/>
        <v>0</v>
      </c>
      <c r="AF35" s="43">
        <f t="shared" si="15"/>
        <v>806</v>
      </c>
      <c r="AG35" s="43">
        <f t="shared" si="15"/>
        <v>547.63</v>
      </c>
      <c r="AH35" s="43">
        <f t="shared" si="15"/>
        <v>0</v>
      </c>
      <c r="AI35" s="43">
        <f t="shared" si="15"/>
        <v>898</v>
      </c>
      <c r="AJ35" s="43">
        <f t="shared" si="15"/>
        <v>590</v>
      </c>
      <c r="AK35" s="43">
        <f t="shared" si="15"/>
        <v>0</v>
      </c>
      <c r="AL35" s="43">
        <f t="shared" si="15"/>
        <v>932</v>
      </c>
      <c r="AM35" s="43">
        <f t="shared" si="15"/>
        <v>636.33000000000004</v>
      </c>
      <c r="AN35" s="138"/>
      <c r="AO35" s="43">
        <f t="shared" ref="AO35:AP35" si="16">SUM(AO36:AO42)</f>
        <v>1078</v>
      </c>
      <c r="AP35" s="31">
        <f t="shared" si="16"/>
        <v>741.31</v>
      </c>
      <c r="AQ35" s="31"/>
      <c r="AR35" s="43">
        <f t="shared" ref="AR35:AS35" si="17">SUM(AR36:AR42)</f>
        <v>1229</v>
      </c>
      <c r="AS35" s="31">
        <f t="shared" si="17"/>
        <v>847.92000000000007</v>
      </c>
      <c r="AT35" s="31"/>
      <c r="AU35" s="85">
        <f t="shared" ref="AU35:AV35" si="18">SUM(AU36:AU42)</f>
        <v>1341</v>
      </c>
      <c r="AV35" s="86">
        <f t="shared" si="18"/>
        <v>923.21</v>
      </c>
      <c r="AW35" s="86"/>
      <c r="AX35" s="87">
        <f t="shared" ref="AX35:AY35" si="19">SUM(AX36:AX42)</f>
        <v>1388</v>
      </c>
      <c r="AY35" s="88">
        <f t="shared" si="19"/>
        <v>955.11</v>
      </c>
      <c r="AZ35" s="88"/>
      <c r="BA35" s="85">
        <f>SUM(BA36:BA42)</f>
        <v>1450</v>
      </c>
      <c r="BB35" s="86">
        <f>SUM(BB36:BB42)</f>
        <v>982.35</v>
      </c>
      <c r="BC35" s="86"/>
      <c r="BD35" s="76"/>
      <c r="BE35" s="87">
        <f>SUM(BE36:BE42)</f>
        <v>1381</v>
      </c>
      <c r="BF35" s="125">
        <f>SUM(BF36:BF42)</f>
        <v>942.16909999999996</v>
      </c>
      <c r="BG35" s="88"/>
    </row>
    <row r="36" spans="1:59" s="18" customFormat="1" ht="12" customHeight="1">
      <c r="A36" s="72"/>
      <c r="B36" s="128" t="s">
        <v>17</v>
      </c>
      <c r="C36" s="128"/>
      <c r="D36" s="128"/>
      <c r="E36" s="36">
        <v>185</v>
      </c>
      <c r="F36" s="36">
        <v>166</v>
      </c>
      <c r="G36" s="36"/>
      <c r="H36" s="36">
        <v>183</v>
      </c>
      <c r="I36" s="36">
        <v>165.22</v>
      </c>
      <c r="J36" s="36"/>
      <c r="K36" s="36">
        <v>183</v>
      </c>
      <c r="L36" s="36">
        <v>165</v>
      </c>
      <c r="M36" s="36"/>
      <c r="N36" s="36">
        <v>183</v>
      </c>
      <c r="O36" s="36">
        <v>166</v>
      </c>
      <c r="P36" s="36"/>
      <c r="Q36" s="36">
        <f>145+42</f>
        <v>187</v>
      </c>
      <c r="R36" s="37">
        <f>39.74+124.66</f>
        <v>164.4</v>
      </c>
      <c r="S36" s="36"/>
      <c r="T36" s="36">
        <f>134+45</f>
        <v>179</v>
      </c>
      <c r="U36" s="37">
        <f>117.99+41.86</f>
        <v>159.85</v>
      </c>
      <c r="V36" s="36"/>
      <c r="W36" s="36">
        <f>127+50</f>
        <v>177</v>
      </c>
      <c r="X36" s="37">
        <f>112.47+48.16</f>
        <v>160.63</v>
      </c>
      <c r="Y36" s="36"/>
      <c r="Z36" s="36">
        <f>136+52</f>
        <v>188</v>
      </c>
      <c r="AA36" s="37">
        <f>116.11+50.93</f>
        <v>167.04</v>
      </c>
      <c r="AB36" s="36"/>
      <c r="AC36" s="36">
        <v>184</v>
      </c>
      <c r="AD36" s="37">
        <v>168</v>
      </c>
      <c r="AE36" s="36"/>
      <c r="AF36" s="36">
        <v>183</v>
      </c>
      <c r="AG36" s="37">
        <v>165</v>
      </c>
      <c r="AH36" s="36"/>
      <c r="AI36" s="36">
        <v>181</v>
      </c>
      <c r="AJ36" s="37">
        <v>170</v>
      </c>
      <c r="AK36" s="36"/>
      <c r="AL36" s="36">
        <v>196</v>
      </c>
      <c r="AM36" s="37">
        <v>184.71</v>
      </c>
      <c r="AN36" s="138"/>
      <c r="AO36" s="36">
        <v>187</v>
      </c>
      <c r="AP36" s="30">
        <v>183.6</v>
      </c>
      <c r="AQ36" s="30"/>
      <c r="AR36" s="36">
        <v>197</v>
      </c>
      <c r="AS36" s="30">
        <v>194.63</v>
      </c>
      <c r="AT36" s="30"/>
      <c r="AU36" s="70">
        <v>209</v>
      </c>
      <c r="AV36" s="71">
        <v>206.53</v>
      </c>
      <c r="AW36" s="71"/>
      <c r="AX36" s="66">
        <f>146+63</f>
        <v>209</v>
      </c>
      <c r="AY36" s="69">
        <f>142.97+63</f>
        <v>205.97</v>
      </c>
      <c r="AZ36" s="69"/>
      <c r="BA36" s="70">
        <v>219</v>
      </c>
      <c r="BB36" s="71">
        <v>213.45</v>
      </c>
      <c r="BC36" s="71"/>
      <c r="BD36" s="73"/>
      <c r="BE36" s="66">
        <v>218</v>
      </c>
      <c r="BF36" s="69">
        <v>210.75</v>
      </c>
      <c r="BG36" s="69"/>
    </row>
    <row r="37" spans="1:59" s="25" customFormat="1" ht="12" customHeight="1">
      <c r="A37" s="73"/>
      <c r="B37" s="128" t="s">
        <v>40</v>
      </c>
      <c r="C37" s="128"/>
      <c r="D37" s="128"/>
      <c r="E37" s="36">
        <v>33</v>
      </c>
      <c r="F37" s="36">
        <v>20</v>
      </c>
      <c r="G37" s="36"/>
      <c r="H37" s="36">
        <v>32</v>
      </c>
      <c r="I37" s="36">
        <v>18.78</v>
      </c>
      <c r="J37" s="36"/>
      <c r="K37" s="36">
        <v>35</v>
      </c>
      <c r="L37" s="36">
        <v>21</v>
      </c>
      <c r="M37" s="36"/>
      <c r="N37" s="36">
        <v>30</v>
      </c>
      <c r="O37" s="36">
        <v>19</v>
      </c>
      <c r="P37" s="36"/>
      <c r="Q37" s="36">
        <f>215-145-42</f>
        <v>28</v>
      </c>
      <c r="R37" s="37">
        <f>183.62-124.66-39.74</f>
        <v>19.220000000000006</v>
      </c>
      <c r="S37" s="36"/>
      <c r="T37" s="36">
        <f>219-134-45</f>
        <v>40</v>
      </c>
      <c r="U37" s="37">
        <f>187.61-117.99-41.86</f>
        <v>27.760000000000019</v>
      </c>
      <c r="V37" s="36"/>
      <c r="W37" s="36">
        <f>214-W36</f>
        <v>37</v>
      </c>
      <c r="X37" s="37">
        <f>187.5-X36</f>
        <v>26.870000000000005</v>
      </c>
      <c r="Y37" s="36"/>
      <c r="Z37" s="36">
        <f>222-Z36</f>
        <v>34</v>
      </c>
      <c r="AA37" s="37">
        <f>191.33-AA36</f>
        <v>24.29000000000002</v>
      </c>
      <c r="AB37" s="36"/>
      <c r="AC37" s="36">
        <v>41</v>
      </c>
      <c r="AD37" s="37">
        <v>28</v>
      </c>
      <c r="AE37" s="36"/>
      <c r="AF37" s="36">
        <v>42</v>
      </c>
      <c r="AG37" s="37">
        <v>31</v>
      </c>
      <c r="AH37" s="36"/>
      <c r="AI37" s="36">
        <v>45</v>
      </c>
      <c r="AJ37" s="37">
        <v>35</v>
      </c>
      <c r="AK37" s="36"/>
      <c r="AL37" s="36">
        <v>52</v>
      </c>
      <c r="AM37" s="37">
        <v>39.17</v>
      </c>
      <c r="AN37" s="138"/>
      <c r="AO37" s="36">
        <v>52</v>
      </c>
      <c r="AP37" s="30">
        <v>45.93</v>
      </c>
      <c r="AQ37" s="30"/>
      <c r="AR37" s="36">
        <v>58</v>
      </c>
      <c r="AS37" s="30">
        <v>50.42</v>
      </c>
      <c r="AT37" s="30"/>
      <c r="AU37" s="70">
        <v>64</v>
      </c>
      <c r="AV37" s="71">
        <v>55.63</v>
      </c>
      <c r="AW37" s="71"/>
      <c r="AX37" s="66">
        <v>66</v>
      </c>
      <c r="AY37" s="69">
        <v>55.62</v>
      </c>
      <c r="AZ37" s="69"/>
      <c r="BA37" s="70">
        <v>66</v>
      </c>
      <c r="BB37" s="71">
        <v>57.79</v>
      </c>
      <c r="BC37" s="71"/>
      <c r="BD37" s="93"/>
      <c r="BE37" s="66">
        <v>71</v>
      </c>
      <c r="BF37" s="69">
        <v>59.302399999999999</v>
      </c>
      <c r="BG37" s="69"/>
    </row>
    <row r="38" spans="1:59" s="18" customFormat="1" ht="12" customHeight="1">
      <c r="A38" s="65" t="s">
        <v>0</v>
      </c>
      <c r="B38" s="128" t="s">
        <v>18</v>
      </c>
      <c r="C38" s="128"/>
      <c r="D38" s="128"/>
      <c r="E38" s="36">
        <v>81</v>
      </c>
      <c r="F38" s="36">
        <v>84.42</v>
      </c>
      <c r="G38" s="36"/>
      <c r="H38" s="36">
        <v>83</v>
      </c>
      <c r="I38" s="36">
        <v>85.04</v>
      </c>
      <c r="J38" s="36"/>
      <c r="K38" s="36">
        <v>90</v>
      </c>
      <c r="L38" s="36">
        <v>91.08</v>
      </c>
      <c r="M38" s="36"/>
      <c r="N38" s="36">
        <v>93</v>
      </c>
      <c r="O38" s="36">
        <v>90.45</v>
      </c>
      <c r="P38" s="36"/>
      <c r="Q38" s="36">
        <v>93</v>
      </c>
      <c r="R38" s="37">
        <v>91.43</v>
      </c>
      <c r="S38" s="36"/>
      <c r="T38" s="36">
        <v>94</v>
      </c>
      <c r="U38" s="37">
        <v>92.14</v>
      </c>
      <c r="V38" s="36"/>
      <c r="W38" s="36">
        <v>104</v>
      </c>
      <c r="X38" s="37">
        <v>100.93</v>
      </c>
      <c r="Y38" s="36"/>
      <c r="Z38" s="36">
        <v>117</v>
      </c>
      <c r="AA38" s="37">
        <v>113.75</v>
      </c>
      <c r="AB38" s="36"/>
      <c r="AC38" s="36">
        <v>120</v>
      </c>
      <c r="AD38" s="37">
        <v>119</v>
      </c>
      <c r="AE38" s="36"/>
      <c r="AF38" s="36">
        <v>96</v>
      </c>
      <c r="AG38" s="37">
        <v>95</v>
      </c>
      <c r="AH38" s="36"/>
      <c r="AI38" s="36">
        <v>111</v>
      </c>
      <c r="AJ38" s="37">
        <v>111</v>
      </c>
      <c r="AK38" s="36"/>
      <c r="AL38" s="36">
        <v>128</v>
      </c>
      <c r="AM38" s="37">
        <v>131.6</v>
      </c>
      <c r="AN38" s="138"/>
      <c r="AO38" s="36">
        <v>150</v>
      </c>
      <c r="AP38" s="30">
        <v>147.34</v>
      </c>
      <c r="AQ38" s="30"/>
      <c r="AR38" s="36">
        <v>210</v>
      </c>
      <c r="AS38" s="30">
        <v>202.16</v>
      </c>
      <c r="AT38" s="30"/>
      <c r="AU38" s="70">
        <v>220</v>
      </c>
      <c r="AV38" s="71">
        <v>212.18</v>
      </c>
      <c r="AW38" s="71"/>
      <c r="AX38" s="66">
        <v>238</v>
      </c>
      <c r="AY38" s="69">
        <v>229.47</v>
      </c>
      <c r="AZ38" s="69"/>
      <c r="BA38" s="70">
        <v>239</v>
      </c>
      <c r="BB38" s="71">
        <v>231.63</v>
      </c>
      <c r="BC38" s="71"/>
      <c r="BD38" s="73"/>
      <c r="BE38" s="66">
        <v>235</v>
      </c>
      <c r="BF38" s="69">
        <v>228.54169999999999</v>
      </c>
      <c r="BG38" s="69"/>
    </row>
    <row r="39" spans="1:59" s="19" customFormat="1" ht="12" customHeight="1">
      <c r="A39" s="73"/>
      <c r="B39" s="128" t="s">
        <v>19</v>
      </c>
      <c r="C39" s="128"/>
      <c r="D39" s="128"/>
      <c r="E39" s="36">
        <v>0</v>
      </c>
      <c r="F39" s="36">
        <v>0</v>
      </c>
      <c r="G39" s="36"/>
      <c r="H39" s="36">
        <v>0</v>
      </c>
      <c r="I39" s="36">
        <v>0</v>
      </c>
      <c r="J39" s="36"/>
      <c r="K39" s="36">
        <v>0</v>
      </c>
      <c r="L39" s="36">
        <v>0</v>
      </c>
      <c r="M39" s="36"/>
      <c r="N39" s="36">
        <v>1</v>
      </c>
      <c r="O39" s="36">
        <v>0.25</v>
      </c>
      <c r="P39" s="36"/>
      <c r="Q39" s="36">
        <v>1</v>
      </c>
      <c r="R39" s="37">
        <v>0.25</v>
      </c>
      <c r="S39" s="36"/>
      <c r="T39" s="36">
        <v>2</v>
      </c>
      <c r="U39" s="37">
        <v>0.91</v>
      </c>
      <c r="V39" s="36"/>
      <c r="W39" s="36">
        <v>4</v>
      </c>
      <c r="X39" s="37">
        <v>0.91</v>
      </c>
      <c r="Y39" s="36"/>
      <c r="Z39" s="36">
        <v>4</v>
      </c>
      <c r="AA39" s="37">
        <v>0.63</v>
      </c>
      <c r="AB39" s="36"/>
      <c r="AC39" s="36">
        <v>3</v>
      </c>
      <c r="AD39" s="37">
        <v>0.63</v>
      </c>
      <c r="AE39" s="36"/>
      <c r="AF39" s="36">
        <v>1</v>
      </c>
      <c r="AG39" s="37">
        <v>0.63</v>
      </c>
      <c r="AH39" s="36"/>
      <c r="AI39" s="36">
        <v>3</v>
      </c>
      <c r="AJ39" s="37">
        <v>2</v>
      </c>
      <c r="AK39" s="36"/>
      <c r="AL39" s="36">
        <v>4</v>
      </c>
      <c r="AM39" s="37">
        <v>2.75</v>
      </c>
      <c r="AN39" s="138"/>
      <c r="AO39" s="36">
        <v>4</v>
      </c>
      <c r="AP39" s="30">
        <v>1.78</v>
      </c>
      <c r="AQ39" s="30"/>
      <c r="AR39" s="36">
        <v>4</v>
      </c>
      <c r="AS39" s="30">
        <v>1.73</v>
      </c>
      <c r="AT39" s="30"/>
      <c r="AU39" s="70">
        <v>3</v>
      </c>
      <c r="AV39" s="71">
        <v>2.6</v>
      </c>
      <c r="AW39" s="71"/>
      <c r="AX39" s="66">
        <v>4</v>
      </c>
      <c r="AY39" s="69">
        <v>3.2</v>
      </c>
      <c r="AZ39" s="69"/>
      <c r="BA39" s="70">
        <v>2</v>
      </c>
      <c r="BB39" s="71">
        <v>1.2</v>
      </c>
      <c r="BC39" s="71"/>
      <c r="BD39" s="65"/>
      <c r="BE39" s="66">
        <v>1</v>
      </c>
      <c r="BF39" s="69">
        <v>0.6</v>
      </c>
      <c r="BG39" s="69"/>
    </row>
    <row r="40" spans="1:59" s="20" customFormat="1" ht="12" customHeight="1">
      <c r="A40" s="65"/>
      <c r="B40" s="128" t="s">
        <v>15</v>
      </c>
      <c r="C40" s="128"/>
      <c r="D40" s="128"/>
      <c r="E40" s="36">
        <v>62</v>
      </c>
      <c r="F40" s="36">
        <v>60</v>
      </c>
      <c r="G40" s="36"/>
      <c r="H40" s="36">
        <v>60</v>
      </c>
      <c r="I40" s="36">
        <v>60</v>
      </c>
      <c r="J40" s="36"/>
      <c r="K40" s="36">
        <v>62</v>
      </c>
      <c r="L40" s="36">
        <v>59.61</v>
      </c>
      <c r="M40" s="36"/>
      <c r="N40" s="36">
        <v>57</v>
      </c>
      <c r="O40" s="36">
        <v>54.53</v>
      </c>
      <c r="P40" s="36"/>
      <c r="Q40" s="36">
        <v>56</v>
      </c>
      <c r="R40" s="37">
        <v>53.76</v>
      </c>
      <c r="S40" s="36"/>
      <c r="T40" s="36">
        <v>53</v>
      </c>
      <c r="U40" s="37">
        <v>50.49</v>
      </c>
      <c r="V40" s="36"/>
      <c r="W40" s="36">
        <v>49</v>
      </c>
      <c r="X40" s="37">
        <v>47.02</v>
      </c>
      <c r="Y40" s="36"/>
      <c r="Z40" s="36">
        <v>50</v>
      </c>
      <c r="AA40" s="37">
        <v>46.84</v>
      </c>
      <c r="AB40" s="36"/>
      <c r="AC40" s="36">
        <v>47</v>
      </c>
      <c r="AD40" s="37">
        <v>43</v>
      </c>
      <c r="AE40" s="36"/>
      <c r="AF40" s="36">
        <v>36</v>
      </c>
      <c r="AG40" s="37">
        <v>34</v>
      </c>
      <c r="AH40" s="36"/>
      <c r="AI40" s="36">
        <v>29</v>
      </c>
      <c r="AJ40" s="37">
        <v>29</v>
      </c>
      <c r="AK40" s="36"/>
      <c r="AL40" s="36">
        <v>22</v>
      </c>
      <c r="AM40" s="37">
        <v>22.5</v>
      </c>
      <c r="AN40" s="138"/>
      <c r="AO40" s="36">
        <v>21</v>
      </c>
      <c r="AP40" s="30">
        <v>21</v>
      </c>
      <c r="AQ40" s="30"/>
      <c r="AR40" s="36">
        <v>23</v>
      </c>
      <c r="AS40" s="30">
        <v>22.5</v>
      </c>
      <c r="AT40" s="30"/>
      <c r="AU40" s="70">
        <v>28</v>
      </c>
      <c r="AV40" s="71">
        <v>26.5</v>
      </c>
      <c r="AW40" s="71"/>
      <c r="AX40" s="66">
        <v>27</v>
      </c>
      <c r="AY40" s="69">
        <v>25.75</v>
      </c>
      <c r="AZ40" s="69"/>
      <c r="BA40" s="70">
        <v>23</v>
      </c>
      <c r="BB40" s="71">
        <v>22.21</v>
      </c>
      <c r="BC40" s="71"/>
      <c r="BD40" s="72"/>
      <c r="BE40" s="66">
        <v>21</v>
      </c>
      <c r="BF40" s="69">
        <v>20.208300000000001</v>
      </c>
      <c r="BG40" s="69"/>
    </row>
    <row r="41" spans="1:59" s="18" customFormat="1" ht="12" customHeight="1">
      <c r="A41" s="73"/>
      <c r="B41" s="128" t="s">
        <v>21</v>
      </c>
      <c r="C41" s="128"/>
      <c r="D41" s="128"/>
      <c r="E41" s="36">
        <v>17</v>
      </c>
      <c r="F41" s="36">
        <v>13.25</v>
      </c>
      <c r="G41" s="36"/>
      <c r="H41" s="36">
        <v>13</v>
      </c>
      <c r="I41" s="36">
        <v>13.5</v>
      </c>
      <c r="J41" s="36"/>
      <c r="K41" s="36">
        <v>15</v>
      </c>
      <c r="L41" s="36">
        <v>13.5</v>
      </c>
      <c r="M41" s="36"/>
      <c r="N41" s="36">
        <v>13</v>
      </c>
      <c r="O41" s="36">
        <v>10</v>
      </c>
      <c r="P41" s="36"/>
      <c r="Q41" s="36">
        <v>22</v>
      </c>
      <c r="R41" s="37">
        <v>20.6</v>
      </c>
      <c r="S41" s="36"/>
      <c r="T41" s="36">
        <v>25</v>
      </c>
      <c r="U41" s="37">
        <v>20.34</v>
      </c>
      <c r="V41" s="36"/>
      <c r="W41" s="36">
        <v>28</v>
      </c>
      <c r="X41" s="37">
        <v>19.11</v>
      </c>
      <c r="Y41" s="36"/>
      <c r="Z41" s="36">
        <v>29</v>
      </c>
      <c r="AA41" s="37">
        <v>24.84</v>
      </c>
      <c r="AB41" s="36"/>
      <c r="AC41" s="36">
        <v>38</v>
      </c>
      <c r="AD41" s="37">
        <v>22</v>
      </c>
      <c r="AE41" s="36"/>
      <c r="AF41" s="36">
        <v>49</v>
      </c>
      <c r="AG41" s="37">
        <v>31</v>
      </c>
      <c r="AH41" s="36"/>
      <c r="AI41" s="36">
        <v>43</v>
      </c>
      <c r="AJ41" s="37">
        <v>34</v>
      </c>
      <c r="AK41" s="36"/>
      <c r="AL41" s="36">
        <v>45</v>
      </c>
      <c r="AM41" s="37">
        <v>37.57</v>
      </c>
      <c r="AN41" s="138"/>
      <c r="AO41" s="36">
        <v>47</v>
      </c>
      <c r="AP41" s="30">
        <v>44.62</v>
      </c>
      <c r="AQ41" s="30"/>
      <c r="AR41" s="36">
        <v>52</v>
      </c>
      <c r="AS41" s="30">
        <v>50.7</v>
      </c>
      <c r="AT41" s="30"/>
      <c r="AU41" s="70">
        <v>56</v>
      </c>
      <c r="AV41" s="71">
        <v>51.72</v>
      </c>
      <c r="AW41" s="71"/>
      <c r="AX41" s="66">
        <v>52</v>
      </c>
      <c r="AY41" s="69">
        <v>49.6</v>
      </c>
      <c r="AZ41" s="69"/>
      <c r="BA41" s="70">
        <v>57</v>
      </c>
      <c r="BB41" s="71">
        <v>52.57</v>
      </c>
      <c r="BC41" s="71"/>
      <c r="BD41" s="73"/>
      <c r="BE41" s="66">
        <v>50</v>
      </c>
      <c r="BF41" s="69">
        <v>46.0167</v>
      </c>
      <c r="BG41" s="69"/>
    </row>
    <row r="42" spans="1:59" s="18" customFormat="1" ht="12" customHeight="1">
      <c r="A42" s="73"/>
      <c r="B42" s="128" t="s">
        <v>20</v>
      </c>
      <c r="C42" s="128"/>
      <c r="D42" s="128"/>
      <c r="E42" s="36">
        <v>525</v>
      </c>
      <c r="F42" s="36">
        <v>168.51</v>
      </c>
      <c r="G42" s="36"/>
      <c r="H42" s="36">
        <v>547</v>
      </c>
      <c r="I42" s="36">
        <v>171.19</v>
      </c>
      <c r="J42" s="36"/>
      <c r="K42" s="36">
        <v>625</v>
      </c>
      <c r="L42" s="36">
        <v>182.46</v>
      </c>
      <c r="M42" s="36"/>
      <c r="N42" s="36">
        <v>368</v>
      </c>
      <c r="O42" s="36">
        <v>183.61</v>
      </c>
      <c r="P42" s="36"/>
      <c r="Q42" s="36">
        <v>327</v>
      </c>
      <c r="R42" s="37">
        <v>163.79</v>
      </c>
      <c r="S42" s="36"/>
      <c r="T42" s="36">
        <v>332</v>
      </c>
      <c r="U42" s="37">
        <v>163.6</v>
      </c>
      <c r="V42" s="36"/>
      <c r="W42" s="36">
        <v>327</v>
      </c>
      <c r="X42" s="37">
        <v>166.51</v>
      </c>
      <c r="Y42" s="36"/>
      <c r="Z42" s="36">
        <v>352</v>
      </c>
      <c r="AA42" s="37">
        <v>171.31</v>
      </c>
      <c r="AB42" s="36"/>
      <c r="AC42" s="36">
        <v>333</v>
      </c>
      <c r="AD42" s="37">
        <v>161</v>
      </c>
      <c r="AE42" s="36"/>
      <c r="AF42" s="36">
        <v>399</v>
      </c>
      <c r="AG42" s="37">
        <v>191</v>
      </c>
      <c r="AH42" s="36"/>
      <c r="AI42" s="36">
        <v>486</v>
      </c>
      <c r="AJ42" s="37">
        <v>209</v>
      </c>
      <c r="AK42" s="36"/>
      <c r="AL42" s="36">
        <v>485</v>
      </c>
      <c r="AM42" s="37">
        <v>218.03</v>
      </c>
      <c r="AN42" s="138"/>
      <c r="AO42" s="36">
        <v>617</v>
      </c>
      <c r="AP42" s="30">
        <v>297.04000000000002</v>
      </c>
      <c r="AQ42" s="30"/>
      <c r="AR42" s="36">
        <v>685</v>
      </c>
      <c r="AS42" s="30">
        <v>325.77999999999997</v>
      </c>
      <c r="AT42" s="30"/>
      <c r="AU42" s="70">
        <v>761</v>
      </c>
      <c r="AV42" s="71">
        <v>368.05</v>
      </c>
      <c r="AW42" s="71"/>
      <c r="AX42" s="66">
        <v>792</v>
      </c>
      <c r="AY42" s="69">
        <v>385.5</v>
      </c>
      <c r="AZ42" s="69"/>
      <c r="BA42" s="70">
        <v>844</v>
      </c>
      <c r="BB42" s="71">
        <v>403.5</v>
      </c>
      <c r="BC42" s="71"/>
      <c r="BD42" s="73"/>
      <c r="BE42" s="66">
        <v>785</v>
      </c>
      <c r="BF42" s="69">
        <v>376.75</v>
      </c>
      <c r="BG42" s="69"/>
    </row>
    <row r="43" spans="1:59" s="19" customFormat="1" ht="12" customHeight="1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  <c r="S43" s="36"/>
      <c r="T43" s="36"/>
      <c r="U43" s="37"/>
      <c r="V43" s="36"/>
      <c r="W43" s="36"/>
      <c r="X43" s="37"/>
      <c r="Y43" s="36"/>
      <c r="Z43" s="36"/>
      <c r="AA43" s="37"/>
      <c r="AB43" s="36"/>
      <c r="AC43" s="36"/>
      <c r="AD43" s="37"/>
      <c r="AE43" s="36"/>
      <c r="AF43" s="36"/>
      <c r="AG43" s="37"/>
      <c r="AH43" s="36"/>
      <c r="AI43" s="36"/>
      <c r="AJ43" s="37"/>
      <c r="AK43" s="36"/>
      <c r="AL43" s="36"/>
      <c r="AM43" s="37"/>
      <c r="AN43" s="48"/>
      <c r="AO43" s="36"/>
      <c r="AP43" s="30"/>
      <c r="AQ43" s="30"/>
      <c r="AR43" s="36"/>
      <c r="AS43" s="30"/>
      <c r="AT43" s="30"/>
      <c r="AU43" s="70"/>
      <c r="AV43" s="71"/>
      <c r="AW43" s="71"/>
      <c r="AX43" s="66"/>
      <c r="AY43" s="69"/>
      <c r="AZ43" s="69"/>
      <c r="BA43" s="70"/>
      <c r="BB43" s="71"/>
      <c r="BC43" s="71"/>
      <c r="BD43" s="65"/>
      <c r="BE43" s="66"/>
      <c r="BF43" s="69"/>
      <c r="BG43" s="69"/>
    </row>
    <row r="44" spans="1:59" s="26" customFormat="1" ht="12" customHeight="1">
      <c r="A44" s="137" t="s">
        <v>27</v>
      </c>
      <c r="B44" s="137"/>
      <c r="C44" s="137"/>
      <c r="D44" s="13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f>SUM(P45:P47)</f>
        <v>0</v>
      </c>
      <c r="Q44" s="43">
        <f>SUM(Q45:Q51)</f>
        <v>518</v>
      </c>
      <c r="R44" s="43">
        <f>SUM(R45:R51)</f>
        <v>420.41999999999996</v>
      </c>
      <c r="S44" s="43">
        <f>SUM(S45:S47)</f>
        <v>0</v>
      </c>
      <c r="T44" s="43">
        <f>SUM(T45:T51)</f>
        <v>502</v>
      </c>
      <c r="U44" s="43">
        <f>SUM(U45:U51)</f>
        <v>423.46</v>
      </c>
      <c r="V44" s="43">
        <f>SUM(V45:V47)</f>
        <v>0</v>
      </c>
      <c r="W44" s="43">
        <f>SUM(W45:W51)</f>
        <v>516</v>
      </c>
      <c r="X44" s="43">
        <f>SUM(X45:X51)</f>
        <v>425.89</v>
      </c>
      <c r="Y44" s="43">
        <f>SUM(Y45:Y47)</f>
        <v>0</v>
      </c>
      <c r="Z44" s="43">
        <f>SUM(Z45:Z51)</f>
        <v>522</v>
      </c>
      <c r="AA44" s="43">
        <f>SUM(AA45:AA51)</f>
        <v>442.03</v>
      </c>
      <c r="AB44" s="43">
        <f>SUM(AB45:AB47)</f>
        <v>0</v>
      </c>
      <c r="AC44" s="43">
        <f>SUM(AC45:AC51)</f>
        <v>622</v>
      </c>
      <c r="AD44" s="43">
        <f>SUM(AD45:AD51)</f>
        <v>471.65</v>
      </c>
      <c r="AE44" s="43">
        <f>SUM(AE45:AE47)</f>
        <v>0</v>
      </c>
      <c r="AF44" s="43">
        <f>SUM(AF45:AF51)</f>
        <v>574</v>
      </c>
      <c r="AG44" s="43">
        <f>SUM(AG45:AG51)</f>
        <v>443</v>
      </c>
      <c r="AH44" s="43">
        <f>SUM(AH45:AH47)</f>
        <v>0</v>
      </c>
      <c r="AI44" s="43">
        <f>SUM(AI45:AI51)</f>
        <v>595</v>
      </c>
      <c r="AJ44" s="43">
        <f>SUM(AJ45:AJ51)</f>
        <v>441</v>
      </c>
      <c r="AK44" s="43">
        <f>SUM(AK45:AK47)</f>
        <v>0</v>
      </c>
      <c r="AL44" s="43">
        <f>SUM(AL45:AL51)</f>
        <v>586</v>
      </c>
      <c r="AM44" s="43">
        <f>SUM(AM45:AM51)</f>
        <v>434.4</v>
      </c>
      <c r="AN44" s="48"/>
      <c r="AO44" s="43">
        <f t="shared" ref="AO44:AP44" si="20">SUM(AO45:AO51)</f>
        <v>679</v>
      </c>
      <c r="AP44" s="31">
        <f t="shared" si="20"/>
        <v>503.61</v>
      </c>
      <c r="AQ44" s="31"/>
      <c r="AR44" s="43">
        <f t="shared" ref="AR44:AS44" si="21">SUM(AR45:AR51)</f>
        <v>614</v>
      </c>
      <c r="AS44" s="31">
        <f t="shared" si="21"/>
        <v>453.64</v>
      </c>
      <c r="AT44" s="31"/>
      <c r="AU44" s="85">
        <f t="shared" ref="AU44:AV44" si="22">SUM(AU45:AU51)</f>
        <v>632</v>
      </c>
      <c r="AV44" s="86">
        <f t="shared" si="22"/>
        <v>472.3</v>
      </c>
      <c r="AW44" s="86"/>
      <c r="AX44" s="87">
        <f t="shared" ref="AX44:AY44" si="23">SUM(AX45:AX51)</f>
        <v>636</v>
      </c>
      <c r="AY44" s="88">
        <f t="shared" si="23"/>
        <v>479.28</v>
      </c>
      <c r="AZ44" s="88"/>
      <c r="BA44" s="85">
        <f>SUM(BA45:BA51)</f>
        <v>640</v>
      </c>
      <c r="BB44" s="86">
        <f>SUM(BB45:BB51)</f>
        <v>490.38</v>
      </c>
      <c r="BC44" s="86"/>
      <c r="BD44" s="90"/>
      <c r="BE44" s="87">
        <f>SUM(BE45:BE51)</f>
        <v>627</v>
      </c>
      <c r="BF44" s="88">
        <f>SUM(BF45:BF51)</f>
        <v>481.69190000000003</v>
      </c>
      <c r="BG44" s="88"/>
    </row>
    <row r="45" spans="1:59" s="24" customFormat="1" ht="12" customHeight="1">
      <c r="A45" s="92"/>
      <c r="B45" s="141" t="s">
        <v>17</v>
      </c>
      <c r="C45" s="141"/>
      <c r="D45" s="141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>
        <f>88+41</f>
        <v>129</v>
      </c>
      <c r="R45" s="37">
        <f>79.46+38.65</f>
        <v>118.10999999999999</v>
      </c>
      <c r="S45" s="36"/>
      <c r="T45" s="36">
        <f>84+35</f>
        <v>119</v>
      </c>
      <c r="U45" s="37">
        <f>78.08+33.29</f>
        <v>111.37</v>
      </c>
      <c r="V45" s="36"/>
      <c r="W45" s="36">
        <f>82+35</f>
        <v>117</v>
      </c>
      <c r="X45" s="37">
        <f>77.95+33.35</f>
        <v>111.30000000000001</v>
      </c>
      <c r="Y45" s="36"/>
      <c r="Z45" s="36">
        <f>84+32</f>
        <v>116</v>
      </c>
      <c r="AA45" s="37">
        <f>79.7+30.17</f>
        <v>109.87</v>
      </c>
      <c r="AB45" s="36"/>
      <c r="AC45" s="36">
        <v>117</v>
      </c>
      <c r="AD45" s="37">
        <v>108</v>
      </c>
      <c r="AE45" s="36"/>
      <c r="AF45" s="36">
        <v>110</v>
      </c>
      <c r="AG45" s="37">
        <v>102</v>
      </c>
      <c r="AH45" s="36"/>
      <c r="AI45" s="36">
        <v>107</v>
      </c>
      <c r="AJ45" s="37">
        <v>98</v>
      </c>
      <c r="AK45" s="36"/>
      <c r="AL45" s="36">
        <v>116</v>
      </c>
      <c r="AM45" s="37">
        <v>103.68</v>
      </c>
      <c r="AN45" s="48"/>
      <c r="AO45" s="36">
        <v>111</v>
      </c>
      <c r="AP45" s="30">
        <v>110.14</v>
      </c>
      <c r="AQ45" s="30"/>
      <c r="AR45" s="36">
        <v>120</v>
      </c>
      <c r="AS45" s="30">
        <v>119</v>
      </c>
      <c r="AT45" s="30"/>
      <c r="AU45" s="70">
        <v>131</v>
      </c>
      <c r="AV45" s="71">
        <v>130.5</v>
      </c>
      <c r="AW45" s="71"/>
      <c r="AX45" s="66">
        <f>74+55</f>
        <v>129</v>
      </c>
      <c r="AY45" s="69">
        <f>72.25+55</f>
        <v>127.25</v>
      </c>
      <c r="AZ45" s="69"/>
      <c r="BA45" s="70">
        <v>129</v>
      </c>
      <c r="BB45" s="71">
        <v>128.5</v>
      </c>
      <c r="BC45" s="71"/>
      <c r="BD45" s="92"/>
      <c r="BE45" s="66">
        <v>123</v>
      </c>
      <c r="BF45" s="69">
        <v>122.5</v>
      </c>
      <c r="BG45" s="69"/>
    </row>
    <row r="46" spans="1:59" s="24" customFormat="1" ht="12" customHeight="1">
      <c r="A46" s="92"/>
      <c r="B46" s="141" t="s">
        <v>40</v>
      </c>
      <c r="C46" s="141"/>
      <c r="D46" s="141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>
        <f>189-Q45</f>
        <v>60</v>
      </c>
      <c r="R46" s="37">
        <f>148.85-R45</f>
        <v>30.740000000000009</v>
      </c>
      <c r="S46" s="36"/>
      <c r="T46" s="36">
        <f>183-T45</f>
        <v>64</v>
      </c>
      <c r="U46" s="37">
        <f>144.01-U45</f>
        <v>32.639999999999986</v>
      </c>
      <c r="V46" s="36"/>
      <c r="W46" s="36">
        <f>172-W45</f>
        <v>55</v>
      </c>
      <c r="X46" s="37">
        <f>142.77-X45</f>
        <v>31.47</v>
      </c>
      <c r="Y46" s="36"/>
      <c r="Z46" s="36">
        <f>183-Z45</f>
        <v>67</v>
      </c>
      <c r="AA46" s="37">
        <f>150.76-AA45</f>
        <v>40.889999999999986</v>
      </c>
      <c r="AB46" s="36"/>
      <c r="AC46" s="36">
        <v>63</v>
      </c>
      <c r="AD46" s="37">
        <v>42</v>
      </c>
      <c r="AE46" s="36"/>
      <c r="AF46" s="36">
        <v>61</v>
      </c>
      <c r="AG46" s="37">
        <v>44</v>
      </c>
      <c r="AH46" s="36"/>
      <c r="AI46" s="36">
        <v>71</v>
      </c>
      <c r="AJ46" s="37">
        <v>47</v>
      </c>
      <c r="AK46" s="36"/>
      <c r="AL46" s="36">
        <v>68</v>
      </c>
      <c r="AM46" s="37">
        <v>47.88</v>
      </c>
      <c r="AN46" s="48"/>
      <c r="AO46" s="36">
        <v>77</v>
      </c>
      <c r="AP46" s="30">
        <v>49.66</v>
      </c>
      <c r="AQ46" s="30"/>
      <c r="AR46" s="36">
        <v>76</v>
      </c>
      <c r="AS46" s="30">
        <v>55.59</v>
      </c>
      <c r="AT46" s="30"/>
      <c r="AU46" s="70">
        <v>74</v>
      </c>
      <c r="AV46" s="71">
        <v>53.56</v>
      </c>
      <c r="AW46" s="71"/>
      <c r="AX46" s="66">
        <v>75</v>
      </c>
      <c r="AY46" s="69">
        <v>54.14</v>
      </c>
      <c r="AZ46" s="69"/>
      <c r="BA46" s="70">
        <v>73</v>
      </c>
      <c r="BB46" s="71">
        <v>55.14</v>
      </c>
      <c r="BC46" s="71"/>
      <c r="BD46" s="92"/>
      <c r="BE46" s="66">
        <v>72</v>
      </c>
      <c r="BF46" s="69">
        <v>56.25</v>
      </c>
      <c r="BG46" s="69"/>
    </row>
    <row r="47" spans="1:59" s="24" customFormat="1" ht="12" customHeight="1">
      <c r="A47" s="92"/>
      <c r="B47" s="141" t="s">
        <v>18</v>
      </c>
      <c r="C47" s="141"/>
      <c r="D47" s="141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>
        <v>119</v>
      </c>
      <c r="R47" s="37">
        <v>114.98</v>
      </c>
      <c r="S47" s="36"/>
      <c r="T47" s="36">
        <v>129</v>
      </c>
      <c r="U47" s="37">
        <v>132.22</v>
      </c>
      <c r="V47" s="36"/>
      <c r="W47" s="36">
        <v>127</v>
      </c>
      <c r="X47" s="37">
        <v>124.74</v>
      </c>
      <c r="Y47" s="36"/>
      <c r="Z47" s="36">
        <v>133</v>
      </c>
      <c r="AA47" s="37">
        <v>139.69</v>
      </c>
      <c r="AB47" s="36"/>
      <c r="AC47" s="36">
        <v>186</v>
      </c>
      <c r="AD47" s="37">
        <v>170</v>
      </c>
      <c r="AE47" s="36"/>
      <c r="AF47" s="36">
        <v>169</v>
      </c>
      <c r="AG47" s="37">
        <v>158</v>
      </c>
      <c r="AH47" s="36"/>
      <c r="AI47" s="36">
        <v>180</v>
      </c>
      <c r="AJ47" s="37">
        <v>168</v>
      </c>
      <c r="AK47" s="36"/>
      <c r="AL47" s="36">
        <v>173</v>
      </c>
      <c r="AM47" s="37">
        <v>160.63999999999999</v>
      </c>
      <c r="AN47" s="48"/>
      <c r="AO47" s="36">
        <v>176</v>
      </c>
      <c r="AP47" s="30">
        <v>166.03</v>
      </c>
      <c r="AQ47" s="30"/>
      <c r="AR47" s="36">
        <v>122</v>
      </c>
      <c r="AS47" s="30">
        <v>115.46</v>
      </c>
      <c r="AT47" s="30"/>
      <c r="AU47" s="70">
        <v>134</v>
      </c>
      <c r="AV47" s="71">
        <v>128.33000000000001</v>
      </c>
      <c r="AW47" s="71"/>
      <c r="AX47" s="66">
        <v>135</v>
      </c>
      <c r="AY47" s="69">
        <v>131.91999999999999</v>
      </c>
      <c r="AZ47" s="69"/>
      <c r="BA47" s="70">
        <v>145</v>
      </c>
      <c r="BB47" s="71">
        <v>141.13</v>
      </c>
      <c r="BC47" s="71"/>
      <c r="BD47" s="92"/>
      <c r="BE47" s="66">
        <v>146</v>
      </c>
      <c r="BF47" s="69">
        <v>140.33359999999999</v>
      </c>
      <c r="BG47" s="69"/>
    </row>
    <row r="48" spans="1:59" s="24" customFormat="1" ht="12" customHeight="1">
      <c r="A48" s="92"/>
      <c r="B48" s="141" t="s">
        <v>19</v>
      </c>
      <c r="C48" s="141"/>
      <c r="D48" s="141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>
        <v>3</v>
      </c>
      <c r="R48" s="37">
        <v>0.14000000000000001</v>
      </c>
      <c r="S48" s="36"/>
      <c r="T48" s="36">
        <v>2</v>
      </c>
      <c r="U48" s="37">
        <v>1.1399999999999999</v>
      </c>
      <c r="V48" s="36"/>
      <c r="W48" s="36">
        <v>1</v>
      </c>
      <c r="X48" s="37">
        <v>0.23</v>
      </c>
      <c r="Y48" s="36"/>
      <c r="Z48" s="36">
        <v>1</v>
      </c>
      <c r="AA48" s="37">
        <v>0.65</v>
      </c>
      <c r="AB48" s="36"/>
      <c r="AC48" s="36">
        <v>1</v>
      </c>
      <c r="AD48" s="37">
        <v>0.65</v>
      </c>
      <c r="AE48" s="36"/>
      <c r="AF48" s="36">
        <v>3</v>
      </c>
      <c r="AG48" s="37">
        <v>2</v>
      </c>
      <c r="AH48" s="36"/>
      <c r="AI48" s="36">
        <v>2</v>
      </c>
      <c r="AJ48" s="37">
        <v>1</v>
      </c>
      <c r="AK48" s="36"/>
      <c r="AL48" s="36">
        <v>2</v>
      </c>
      <c r="AM48" s="37">
        <v>0.97</v>
      </c>
      <c r="AN48" s="48"/>
      <c r="AO48" s="36">
        <v>4</v>
      </c>
      <c r="AP48" s="30">
        <v>1.93</v>
      </c>
      <c r="AQ48" s="30"/>
      <c r="AR48" s="36">
        <v>2</v>
      </c>
      <c r="AS48" s="30">
        <v>1.47</v>
      </c>
      <c r="AT48" s="30"/>
      <c r="AU48" s="70">
        <v>0</v>
      </c>
      <c r="AV48" s="71">
        <v>0</v>
      </c>
      <c r="AW48" s="71"/>
      <c r="AX48" s="66">
        <v>1</v>
      </c>
      <c r="AY48" s="69">
        <v>0.04</v>
      </c>
      <c r="AZ48" s="69"/>
      <c r="BA48" s="70">
        <v>0</v>
      </c>
      <c r="BB48" s="71">
        <v>0</v>
      </c>
      <c r="BC48" s="71"/>
      <c r="BD48" s="92"/>
      <c r="BE48" s="66">
        <v>0</v>
      </c>
      <c r="BF48" s="69">
        <v>0</v>
      </c>
      <c r="BG48" s="69"/>
    </row>
    <row r="49" spans="1:60" s="24" customFormat="1" ht="12" customHeight="1">
      <c r="A49" s="92"/>
      <c r="B49" s="141" t="s">
        <v>15</v>
      </c>
      <c r="C49" s="141"/>
      <c r="D49" s="141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>
        <v>49</v>
      </c>
      <c r="R49" s="37">
        <v>74.42</v>
      </c>
      <c r="S49" s="36"/>
      <c r="T49" s="36">
        <v>48</v>
      </c>
      <c r="U49" s="37">
        <v>70.209999999999994</v>
      </c>
      <c r="V49" s="36"/>
      <c r="W49" s="36">
        <v>48</v>
      </c>
      <c r="X49" s="37">
        <v>71.739999999999995</v>
      </c>
      <c r="Y49" s="36"/>
      <c r="Z49" s="36">
        <v>44</v>
      </c>
      <c r="AA49" s="37">
        <v>66.52</v>
      </c>
      <c r="AB49" s="36"/>
      <c r="AC49" s="36">
        <v>68</v>
      </c>
      <c r="AD49" s="37">
        <v>58</v>
      </c>
      <c r="AE49" s="36"/>
      <c r="AF49" s="36">
        <v>59</v>
      </c>
      <c r="AG49" s="37">
        <v>50</v>
      </c>
      <c r="AH49" s="36"/>
      <c r="AI49" s="36">
        <v>59</v>
      </c>
      <c r="AJ49" s="37">
        <v>49</v>
      </c>
      <c r="AK49" s="36"/>
      <c r="AL49" s="36">
        <v>43</v>
      </c>
      <c r="AM49" s="37">
        <v>34.450000000000003</v>
      </c>
      <c r="AN49" s="48"/>
      <c r="AO49" s="36">
        <v>41</v>
      </c>
      <c r="AP49" s="30">
        <v>34.18</v>
      </c>
      <c r="AQ49" s="30"/>
      <c r="AR49" s="36">
        <v>22</v>
      </c>
      <c r="AS49" s="30">
        <v>19.649999999999999</v>
      </c>
      <c r="AT49" s="30"/>
      <c r="AU49" s="70">
        <v>21</v>
      </c>
      <c r="AV49" s="71">
        <v>19.100000000000001</v>
      </c>
      <c r="AW49" s="71"/>
      <c r="AX49" s="66">
        <v>20</v>
      </c>
      <c r="AY49" s="69">
        <v>17.72</v>
      </c>
      <c r="AZ49" s="69"/>
      <c r="BA49" s="70">
        <v>21</v>
      </c>
      <c r="BB49" s="71">
        <v>18.73</v>
      </c>
      <c r="BC49" s="71"/>
      <c r="BD49" s="92"/>
      <c r="BE49" s="66">
        <v>19</v>
      </c>
      <c r="BF49" s="69">
        <v>17.225000000000001</v>
      </c>
      <c r="BG49" s="69"/>
    </row>
    <row r="50" spans="1:60" s="24" customFormat="1" ht="12" customHeight="1">
      <c r="A50" s="92"/>
      <c r="B50" s="141" t="s">
        <v>21</v>
      </c>
      <c r="C50" s="141"/>
      <c r="D50" s="141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>
        <v>10</v>
      </c>
      <c r="R50" s="37">
        <v>7.87</v>
      </c>
      <c r="S50" s="36"/>
      <c r="T50" s="36">
        <v>8</v>
      </c>
      <c r="U50" s="37">
        <v>6.59</v>
      </c>
      <c r="V50" s="36"/>
      <c r="W50" s="36">
        <v>13</v>
      </c>
      <c r="X50" s="37">
        <v>10.44</v>
      </c>
      <c r="Y50" s="36"/>
      <c r="Z50" s="36">
        <v>11</v>
      </c>
      <c r="AA50" s="37">
        <v>10.19</v>
      </c>
      <c r="AB50" s="36"/>
      <c r="AC50" s="36">
        <v>8</v>
      </c>
      <c r="AD50" s="37">
        <v>5</v>
      </c>
      <c r="AE50" s="36"/>
      <c r="AF50" s="36">
        <v>6</v>
      </c>
      <c r="AG50" s="37">
        <v>5</v>
      </c>
      <c r="AH50" s="36"/>
      <c r="AI50" s="36">
        <v>5</v>
      </c>
      <c r="AJ50" s="37">
        <v>5</v>
      </c>
      <c r="AK50" s="36"/>
      <c r="AL50" s="36">
        <v>5</v>
      </c>
      <c r="AM50" s="37">
        <v>9.1999999999999993</v>
      </c>
      <c r="AN50" s="48"/>
      <c r="AO50" s="36">
        <v>5</v>
      </c>
      <c r="AP50" s="30">
        <v>4.25</v>
      </c>
      <c r="AQ50" s="30"/>
      <c r="AR50" s="36">
        <v>8</v>
      </c>
      <c r="AS50" s="30">
        <v>7.3</v>
      </c>
      <c r="AT50" s="30"/>
      <c r="AU50" s="70">
        <v>7</v>
      </c>
      <c r="AV50" s="71">
        <v>6.75</v>
      </c>
      <c r="AW50" s="71"/>
      <c r="AX50" s="66">
        <v>10</v>
      </c>
      <c r="AY50" s="69">
        <v>9.5</v>
      </c>
      <c r="AZ50" s="69"/>
      <c r="BA50" s="70">
        <v>12</v>
      </c>
      <c r="BB50" s="71">
        <v>11.5</v>
      </c>
      <c r="BC50" s="71"/>
      <c r="BD50" s="92"/>
      <c r="BE50" s="66">
        <v>12</v>
      </c>
      <c r="BF50" s="69">
        <v>11</v>
      </c>
      <c r="BG50" s="69"/>
    </row>
    <row r="51" spans="1:60" s="24" customFormat="1" ht="12" customHeight="1">
      <c r="A51" s="92"/>
      <c r="B51" s="141" t="s">
        <v>20</v>
      </c>
      <c r="C51" s="141"/>
      <c r="D51" s="141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148</v>
      </c>
      <c r="R51" s="37">
        <v>74.16</v>
      </c>
      <c r="S51" s="36"/>
      <c r="T51" s="36">
        <v>132</v>
      </c>
      <c r="U51" s="37">
        <v>69.290000000000006</v>
      </c>
      <c r="V51" s="36"/>
      <c r="W51" s="36">
        <v>155</v>
      </c>
      <c r="X51" s="37">
        <v>75.97</v>
      </c>
      <c r="Y51" s="36"/>
      <c r="Z51" s="36">
        <v>150</v>
      </c>
      <c r="AA51" s="37">
        <v>74.22</v>
      </c>
      <c r="AB51" s="36"/>
      <c r="AC51" s="36">
        <v>179</v>
      </c>
      <c r="AD51" s="37">
        <v>88</v>
      </c>
      <c r="AE51" s="36"/>
      <c r="AF51" s="36">
        <v>166</v>
      </c>
      <c r="AG51" s="37">
        <v>82</v>
      </c>
      <c r="AH51" s="36"/>
      <c r="AI51" s="36">
        <v>171</v>
      </c>
      <c r="AJ51" s="37">
        <v>73</v>
      </c>
      <c r="AK51" s="36"/>
      <c r="AL51" s="36">
        <v>179</v>
      </c>
      <c r="AM51" s="37">
        <v>77.58</v>
      </c>
      <c r="AN51" s="48"/>
      <c r="AO51" s="36">
        <v>265</v>
      </c>
      <c r="AP51" s="30">
        <v>137.41999999999999</v>
      </c>
      <c r="AQ51" s="30"/>
      <c r="AR51" s="36">
        <v>264</v>
      </c>
      <c r="AS51" s="30">
        <v>135.16999999999999</v>
      </c>
      <c r="AT51" s="30"/>
      <c r="AU51" s="70">
        <v>265</v>
      </c>
      <c r="AV51" s="71">
        <v>134.06</v>
      </c>
      <c r="AW51" s="71"/>
      <c r="AX51" s="66">
        <v>266</v>
      </c>
      <c r="AY51" s="69">
        <v>138.71</v>
      </c>
      <c r="AZ51" s="69"/>
      <c r="BA51" s="70">
        <v>260</v>
      </c>
      <c r="BB51" s="71">
        <v>135.38</v>
      </c>
      <c r="BC51" s="71"/>
      <c r="BD51" s="92"/>
      <c r="BE51" s="66">
        <v>255</v>
      </c>
      <c r="BF51" s="69">
        <v>134.38329999999999</v>
      </c>
      <c r="BG51" s="69"/>
    </row>
    <row r="52" spans="1:60" s="19" customFormat="1" ht="12" customHeight="1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  <c r="S52" s="36"/>
      <c r="T52" s="36"/>
      <c r="U52" s="37"/>
      <c r="V52" s="36"/>
      <c r="W52" s="36"/>
      <c r="X52" s="37"/>
      <c r="Y52" s="36"/>
      <c r="Z52" s="36"/>
      <c r="AA52" s="37"/>
      <c r="AB52" s="36"/>
      <c r="AC52" s="36"/>
      <c r="AD52" s="37"/>
      <c r="AE52" s="36"/>
      <c r="AF52" s="36"/>
      <c r="AG52" s="37"/>
      <c r="AH52" s="36"/>
      <c r="AI52" s="36"/>
      <c r="AJ52" s="37"/>
      <c r="AK52" s="36"/>
      <c r="AL52" s="36"/>
      <c r="AM52" s="37"/>
      <c r="AN52" s="45"/>
      <c r="AO52" s="36"/>
      <c r="AP52" s="30"/>
      <c r="AQ52" s="30"/>
      <c r="AR52" s="36"/>
      <c r="AS52" s="30"/>
      <c r="AT52" s="30"/>
      <c r="AU52" s="70"/>
      <c r="AV52" s="71"/>
      <c r="AW52" s="71"/>
      <c r="AX52" s="66"/>
      <c r="AY52" s="69"/>
      <c r="AZ52" s="69"/>
      <c r="BA52" s="70"/>
      <c r="BB52" s="71"/>
      <c r="BC52" s="71"/>
      <c r="BD52" s="65"/>
      <c r="BE52" s="66"/>
      <c r="BF52" s="69"/>
      <c r="BG52" s="69"/>
    </row>
    <row r="53" spans="1:60" s="26" customFormat="1" ht="12" customHeight="1">
      <c r="A53" s="137" t="s">
        <v>4</v>
      </c>
      <c r="B53" s="137"/>
      <c r="C53" s="137"/>
      <c r="D53" s="137"/>
      <c r="E53" s="43">
        <f t="shared" ref="E53:AM53" si="24">SUM(E54:E60)</f>
        <v>1732</v>
      </c>
      <c r="F53" s="43">
        <f t="shared" si="24"/>
        <v>1117.43</v>
      </c>
      <c r="G53" s="43">
        <f t="shared" si="24"/>
        <v>0</v>
      </c>
      <c r="H53" s="43">
        <f t="shared" si="24"/>
        <v>1752</v>
      </c>
      <c r="I53" s="43">
        <f t="shared" si="24"/>
        <v>1135.6400000000001</v>
      </c>
      <c r="J53" s="43">
        <f t="shared" si="24"/>
        <v>0</v>
      </c>
      <c r="K53" s="43">
        <f t="shared" si="24"/>
        <v>1873</v>
      </c>
      <c r="L53" s="43">
        <f t="shared" si="24"/>
        <v>1182.8800000000001</v>
      </c>
      <c r="M53" s="43">
        <f t="shared" si="24"/>
        <v>0</v>
      </c>
      <c r="N53" s="43">
        <f t="shared" si="24"/>
        <v>1609</v>
      </c>
      <c r="O53" s="43">
        <f t="shared" si="24"/>
        <v>1156.0800000000002</v>
      </c>
      <c r="P53" s="43">
        <f t="shared" si="24"/>
        <v>0</v>
      </c>
      <c r="Q53" s="43">
        <f t="shared" si="24"/>
        <v>1578</v>
      </c>
      <c r="R53" s="43">
        <f t="shared" si="24"/>
        <v>1138.94</v>
      </c>
      <c r="S53" s="43">
        <f t="shared" si="24"/>
        <v>33</v>
      </c>
      <c r="T53" s="43">
        <f t="shared" si="24"/>
        <v>1595</v>
      </c>
      <c r="U53" s="43">
        <f t="shared" si="24"/>
        <v>1146.1300000000001</v>
      </c>
      <c r="V53" s="43">
        <f t="shared" si="24"/>
        <v>33</v>
      </c>
      <c r="W53" s="43">
        <f t="shared" si="24"/>
        <v>1614</v>
      </c>
      <c r="X53" s="43">
        <f t="shared" si="24"/>
        <v>1138.33</v>
      </c>
      <c r="Y53" s="43">
        <f t="shared" si="24"/>
        <v>33</v>
      </c>
      <c r="Z53" s="43">
        <f t="shared" si="24"/>
        <v>1647</v>
      </c>
      <c r="AA53" s="43">
        <f t="shared" si="24"/>
        <v>1167.3700000000001</v>
      </c>
      <c r="AB53" s="43">
        <f t="shared" si="24"/>
        <v>33</v>
      </c>
      <c r="AC53" s="43">
        <f t="shared" si="24"/>
        <v>1692</v>
      </c>
      <c r="AD53" s="43">
        <f t="shared" si="24"/>
        <v>1194</v>
      </c>
      <c r="AE53" s="43">
        <f t="shared" si="24"/>
        <v>33</v>
      </c>
      <c r="AF53" s="43">
        <f t="shared" si="24"/>
        <v>1658</v>
      </c>
      <c r="AG53" s="43">
        <f t="shared" si="24"/>
        <v>1168</v>
      </c>
      <c r="AH53" s="43">
        <f t="shared" si="24"/>
        <v>33</v>
      </c>
      <c r="AI53" s="43">
        <f t="shared" si="24"/>
        <v>1717</v>
      </c>
      <c r="AJ53" s="43">
        <f t="shared" si="24"/>
        <v>1185</v>
      </c>
      <c r="AK53" s="43">
        <f t="shared" si="24"/>
        <v>33</v>
      </c>
      <c r="AL53" s="43">
        <f t="shared" si="24"/>
        <v>1769</v>
      </c>
      <c r="AM53" s="43">
        <f t="shared" si="24"/>
        <v>1208.57</v>
      </c>
      <c r="AN53" s="49"/>
      <c r="AO53" s="43">
        <f t="shared" ref="AO53:AP53" si="25">SUM(AO54:AO60)</f>
        <v>1872</v>
      </c>
      <c r="AP53" s="31">
        <f t="shared" si="25"/>
        <v>1333.77</v>
      </c>
      <c r="AQ53" s="31"/>
      <c r="AR53" s="43">
        <f t="shared" ref="AR53:AS53" si="26">SUM(AR54:AR60)</f>
        <v>1921</v>
      </c>
      <c r="AS53" s="31">
        <f t="shared" si="26"/>
        <v>1365.78</v>
      </c>
      <c r="AT53" s="31"/>
      <c r="AU53" s="85">
        <f t="shared" ref="AU53:AV53" si="27">SUM(AU54:AU60)</f>
        <v>1996</v>
      </c>
      <c r="AV53" s="86">
        <f t="shared" si="27"/>
        <v>1432.76</v>
      </c>
      <c r="AW53" s="86"/>
      <c r="AX53" s="87">
        <f t="shared" ref="AX53" si="28">SUM(AX54:AX60)</f>
        <v>2012</v>
      </c>
      <c r="AY53" s="88">
        <f>SUM(AY54:AY60)</f>
        <v>1445.41</v>
      </c>
      <c r="AZ53" s="88"/>
      <c r="BA53" s="85">
        <f>SUM(BA54:BA60)</f>
        <v>2062</v>
      </c>
      <c r="BB53" s="86">
        <f>SUM(BB54:BB60)</f>
        <v>1472.6799999999998</v>
      </c>
      <c r="BC53" s="86"/>
      <c r="BD53" s="90"/>
      <c r="BE53" s="87">
        <f>SUM(BE54:BE60)</f>
        <v>1987</v>
      </c>
      <c r="BF53" s="88">
        <f>SUM(BF54:BF60)</f>
        <v>1426.4246000000001</v>
      </c>
      <c r="BG53" s="88"/>
    </row>
    <row r="54" spans="1:60" s="24" customFormat="1" ht="12" customHeight="1">
      <c r="A54" s="73"/>
      <c r="B54" s="128" t="s">
        <v>17</v>
      </c>
      <c r="C54" s="128"/>
      <c r="D54" s="128"/>
      <c r="E54" s="36">
        <v>496</v>
      </c>
      <c r="F54" s="36">
        <v>446</v>
      </c>
      <c r="G54" s="36"/>
      <c r="H54" s="36">
        <v>473</v>
      </c>
      <c r="I54" s="36">
        <v>432.64</v>
      </c>
      <c r="J54" s="36"/>
      <c r="K54" s="36">
        <v>486</v>
      </c>
      <c r="L54" s="36">
        <v>438</v>
      </c>
      <c r="M54" s="36"/>
      <c r="N54" s="36">
        <v>478</v>
      </c>
      <c r="O54" s="36">
        <v>436</v>
      </c>
      <c r="P54" s="36"/>
      <c r="Q54" s="36">
        <f>337+141</f>
        <v>478</v>
      </c>
      <c r="R54" s="37">
        <f>303.33+131.57</f>
        <v>434.9</v>
      </c>
      <c r="S54" s="36"/>
      <c r="T54" s="36">
        <f>336+125</f>
        <v>461</v>
      </c>
      <c r="U54" s="37">
        <f>303.08+117.22</f>
        <v>420.29999999999995</v>
      </c>
      <c r="V54" s="36"/>
      <c r="W54" s="36">
        <f>337+109</f>
        <v>446</v>
      </c>
      <c r="X54" s="37">
        <f>299.18+104.64</f>
        <v>403.82</v>
      </c>
      <c r="Y54" s="36"/>
      <c r="Z54" s="36">
        <f>342+117</f>
        <v>459</v>
      </c>
      <c r="AA54" s="37">
        <f>312.54+114.19</f>
        <v>426.73</v>
      </c>
      <c r="AB54" s="36"/>
      <c r="AC54" s="36">
        <v>475</v>
      </c>
      <c r="AD54" s="37">
        <v>443</v>
      </c>
      <c r="AE54" s="36"/>
      <c r="AF54" s="36">
        <v>448</v>
      </c>
      <c r="AG54" s="37">
        <v>421</v>
      </c>
      <c r="AH54" s="36"/>
      <c r="AI54" s="36">
        <v>439</v>
      </c>
      <c r="AJ54" s="37">
        <v>412</v>
      </c>
      <c r="AK54" s="36"/>
      <c r="AL54" s="36">
        <v>449</v>
      </c>
      <c r="AM54" s="37">
        <v>417.12</v>
      </c>
      <c r="AN54" s="45"/>
      <c r="AO54" s="36">
        <v>437</v>
      </c>
      <c r="AP54" s="30">
        <v>430.15</v>
      </c>
      <c r="AQ54" s="30"/>
      <c r="AR54" s="36">
        <v>435</v>
      </c>
      <c r="AS54" s="30">
        <v>431.5</v>
      </c>
      <c r="AT54" s="30"/>
      <c r="AU54" s="70">
        <v>456</v>
      </c>
      <c r="AV54" s="71">
        <v>451.67</v>
      </c>
      <c r="AW54" s="71"/>
      <c r="AX54" s="66">
        <f>329+113</f>
        <v>442</v>
      </c>
      <c r="AY54" s="69">
        <f>324.58+113</f>
        <v>437.58</v>
      </c>
      <c r="AZ54" s="69"/>
      <c r="BA54" s="70">
        <v>445</v>
      </c>
      <c r="BB54" s="71">
        <v>440.7</v>
      </c>
      <c r="BC54" s="71"/>
      <c r="BD54" s="92"/>
      <c r="BE54" s="66">
        <v>442</v>
      </c>
      <c r="BF54" s="69">
        <v>437.13330000000002</v>
      </c>
      <c r="BG54" s="69"/>
    </row>
    <row r="55" spans="1:60" s="24" customFormat="1" ht="12" customHeight="1">
      <c r="A55" s="73"/>
      <c r="B55" s="128" t="s">
        <v>40</v>
      </c>
      <c r="C55" s="128"/>
      <c r="D55" s="128"/>
      <c r="E55" s="36">
        <v>160</v>
      </c>
      <c r="F55" s="36">
        <v>117</v>
      </c>
      <c r="G55" s="36"/>
      <c r="H55" s="36">
        <v>176</v>
      </c>
      <c r="I55" s="36">
        <v>136.36000000000001</v>
      </c>
      <c r="J55" s="36"/>
      <c r="K55" s="36">
        <v>178</v>
      </c>
      <c r="L55" s="36">
        <v>132</v>
      </c>
      <c r="M55" s="36"/>
      <c r="N55" s="36">
        <v>150</v>
      </c>
      <c r="O55" s="36">
        <v>110</v>
      </c>
      <c r="P55" s="36"/>
      <c r="Q55" s="36">
        <f>637-337-141</f>
        <v>159</v>
      </c>
      <c r="R55" s="37">
        <f>553.5-303.33-131.57</f>
        <v>118.60000000000002</v>
      </c>
      <c r="S55" s="36"/>
      <c r="T55" s="36">
        <f>620-336-125</f>
        <v>159</v>
      </c>
      <c r="U55" s="37">
        <f>543.67-303.08-117.22</f>
        <v>123.36999999999998</v>
      </c>
      <c r="V55" s="36"/>
      <c r="W55" s="36">
        <f>610-W54</f>
        <v>164</v>
      </c>
      <c r="X55" s="37">
        <f>523.47-X54</f>
        <v>119.65000000000003</v>
      </c>
      <c r="Y55" s="36"/>
      <c r="Z55" s="36">
        <f>626-Z54</f>
        <v>167</v>
      </c>
      <c r="AA55" s="37">
        <f>550.61-AA54</f>
        <v>123.88</v>
      </c>
      <c r="AB55" s="36"/>
      <c r="AC55" s="36">
        <v>152</v>
      </c>
      <c r="AD55" s="37">
        <v>111</v>
      </c>
      <c r="AE55" s="36"/>
      <c r="AF55" s="36">
        <v>170</v>
      </c>
      <c r="AG55" s="37">
        <v>116</v>
      </c>
      <c r="AH55" s="36"/>
      <c r="AI55" s="36">
        <v>189</v>
      </c>
      <c r="AJ55" s="37">
        <v>134</v>
      </c>
      <c r="AK55" s="36"/>
      <c r="AL55" s="36">
        <v>207</v>
      </c>
      <c r="AM55" s="37">
        <v>144.66</v>
      </c>
      <c r="AN55" s="45"/>
      <c r="AO55" s="36">
        <v>221</v>
      </c>
      <c r="AP55" s="30">
        <v>163.94</v>
      </c>
      <c r="AQ55" s="30"/>
      <c r="AR55" s="36">
        <v>233</v>
      </c>
      <c r="AS55" s="30">
        <v>179.46</v>
      </c>
      <c r="AT55" s="30"/>
      <c r="AU55" s="70">
        <v>235</v>
      </c>
      <c r="AV55" s="71">
        <v>184.67</v>
      </c>
      <c r="AW55" s="71"/>
      <c r="AX55" s="66">
        <v>244</v>
      </c>
      <c r="AY55" s="69">
        <v>196.15</v>
      </c>
      <c r="AZ55" s="69"/>
      <c r="BA55" s="70">
        <v>242</v>
      </c>
      <c r="BB55" s="71">
        <v>191.76</v>
      </c>
      <c r="BC55" s="71"/>
      <c r="BD55" s="92"/>
      <c r="BE55" s="66">
        <v>228</v>
      </c>
      <c r="BF55" s="69">
        <v>180.17490000000001</v>
      </c>
      <c r="BG55" s="69"/>
    </row>
    <row r="56" spans="1:60" s="24" customFormat="1" ht="12" customHeight="1">
      <c r="A56" s="92"/>
      <c r="B56" s="128" t="s">
        <v>18</v>
      </c>
      <c r="C56" s="128"/>
      <c r="D56" s="128"/>
      <c r="E56" s="36">
        <v>117</v>
      </c>
      <c r="F56" s="36">
        <v>109.67</v>
      </c>
      <c r="G56" s="36"/>
      <c r="H56" s="36">
        <v>123</v>
      </c>
      <c r="I56" s="36">
        <v>112.84</v>
      </c>
      <c r="J56" s="36"/>
      <c r="K56" s="36">
        <v>129</v>
      </c>
      <c r="L56" s="36">
        <v>120.2</v>
      </c>
      <c r="M56" s="36"/>
      <c r="N56" s="36">
        <v>128</v>
      </c>
      <c r="O56" s="36">
        <v>117.68</v>
      </c>
      <c r="P56" s="36"/>
      <c r="Q56" s="36">
        <v>131</v>
      </c>
      <c r="R56" s="37">
        <v>122.73</v>
      </c>
      <c r="S56" s="36"/>
      <c r="T56" s="36">
        <v>133</v>
      </c>
      <c r="U56" s="37">
        <v>123.23</v>
      </c>
      <c r="V56" s="36"/>
      <c r="W56" s="36">
        <v>137</v>
      </c>
      <c r="X56" s="37">
        <v>126.33</v>
      </c>
      <c r="Y56" s="36"/>
      <c r="Z56" s="36">
        <v>149</v>
      </c>
      <c r="AA56" s="37">
        <v>134.91</v>
      </c>
      <c r="AB56" s="36"/>
      <c r="AC56" s="36">
        <v>157</v>
      </c>
      <c r="AD56" s="37">
        <v>141</v>
      </c>
      <c r="AE56" s="36"/>
      <c r="AF56" s="36">
        <v>147</v>
      </c>
      <c r="AG56" s="37">
        <v>136</v>
      </c>
      <c r="AH56" s="36"/>
      <c r="AI56" s="36">
        <v>150</v>
      </c>
      <c r="AJ56" s="37">
        <v>142</v>
      </c>
      <c r="AK56" s="36"/>
      <c r="AL56" s="36">
        <v>158</v>
      </c>
      <c r="AM56" s="37">
        <v>146.51</v>
      </c>
      <c r="AN56" s="45"/>
      <c r="AO56" s="36">
        <v>166</v>
      </c>
      <c r="AP56" s="30">
        <v>160.72999999999999</v>
      </c>
      <c r="AQ56" s="30"/>
      <c r="AR56" s="36">
        <v>176</v>
      </c>
      <c r="AS56" s="30">
        <v>169.17</v>
      </c>
      <c r="AT56" s="30"/>
      <c r="AU56" s="70">
        <v>220</v>
      </c>
      <c r="AV56" s="71">
        <v>211.95</v>
      </c>
      <c r="AW56" s="71"/>
      <c r="AX56" s="66">
        <v>222</v>
      </c>
      <c r="AY56" s="69">
        <v>214.66</v>
      </c>
      <c r="AZ56" s="69"/>
      <c r="BA56" s="70">
        <v>228</v>
      </c>
      <c r="BB56" s="71">
        <v>219.56</v>
      </c>
      <c r="BC56" s="71"/>
      <c r="BD56" s="92"/>
      <c r="BE56" s="66">
        <v>231</v>
      </c>
      <c r="BF56" s="69">
        <v>222.6831</v>
      </c>
      <c r="BG56" s="69"/>
    </row>
    <row r="57" spans="1:60" s="24" customFormat="1" ht="12" customHeight="1">
      <c r="A57" s="92"/>
      <c r="B57" s="128" t="s">
        <v>19</v>
      </c>
      <c r="C57" s="128"/>
      <c r="D57" s="128"/>
      <c r="E57" s="36">
        <v>0</v>
      </c>
      <c r="F57" s="36">
        <v>0</v>
      </c>
      <c r="G57" s="36"/>
      <c r="H57" s="36">
        <v>0</v>
      </c>
      <c r="I57" s="36">
        <v>0</v>
      </c>
      <c r="J57" s="36"/>
      <c r="K57" s="36">
        <v>1</v>
      </c>
      <c r="L57" s="36">
        <v>0.25</v>
      </c>
      <c r="M57" s="36"/>
      <c r="N57" s="36">
        <v>5</v>
      </c>
      <c r="O57" s="36">
        <v>1.1000000000000001</v>
      </c>
      <c r="P57" s="36"/>
      <c r="Q57" s="36">
        <v>5</v>
      </c>
      <c r="R57" s="37">
        <v>1.83</v>
      </c>
      <c r="S57" s="36"/>
      <c r="T57" s="36">
        <v>7</v>
      </c>
      <c r="U57" s="37">
        <v>3.08</v>
      </c>
      <c r="V57" s="36"/>
      <c r="W57" s="36">
        <v>10</v>
      </c>
      <c r="X57" s="37">
        <v>4.25</v>
      </c>
      <c r="Y57" s="36"/>
      <c r="Z57" s="36">
        <v>9</v>
      </c>
      <c r="AA57" s="37">
        <v>3.38</v>
      </c>
      <c r="AB57" s="36"/>
      <c r="AC57" s="36">
        <v>3</v>
      </c>
      <c r="AD57" s="37">
        <v>1</v>
      </c>
      <c r="AE57" s="36"/>
      <c r="AF57" s="36">
        <v>2</v>
      </c>
      <c r="AG57" s="37">
        <v>1</v>
      </c>
      <c r="AH57" s="36"/>
      <c r="AI57" s="36">
        <v>4</v>
      </c>
      <c r="AJ57" s="37">
        <v>2</v>
      </c>
      <c r="AK57" s="36"/>
      <c r="AL57" s="36">
        <v>4</v>
      </c>
      <c r="AM57" s="37">
        <v>0.75</v>
      </c>
      <c r="AN57" s="45"/>
      <c r="AO57" s="36">
        <v>4</v>
      </c>
      <c r="AP57" s="30">
        <v>0.86</v>
      </c>
      <c r="AQ57" s="30"/>
      <c r="AR57" s="36">
        <v>4</v>
      </c>
      <c r="AS57" s="30">
        <v>0.96</v>
      </c>
      <c r="AT57" s="30"/>
      <c r="AU57" s="70">
        <v>7</v>
      </c>
      <c r="AV57" s="71">
        <v>5.49</v>
      </c>
      <c r="AW57" s="71"/>
      <c r="AX57" s="66">
        <v>5</v>
      </c>
      <c r="AY57" s="69">
        <v>2.36</v>
      </c>
      <c r="AZ57" s="69"/>
      <c r="BA57" s="70">
        <v>4</v>
      </c>
      <c r="BB57" s="71">
        <v>2.5499999999999998</v>
      </c>
      <c r="BC57" s="71"/>
      <c r="BD57" s="92"/>
      <c r="BE57" s="66">
        <v>1</v>
      </c>
      <c r="BF57" s="69">
        <v>0.25</v>
      </c>
      <c r="BG57" s="69"/>
    </row>
    <row r="58" spans="1:60" s="23" customFormat="1" ht="12" customHeight="1">
      <c r="A58" s="94"/>
      <c r="B58" s="128" t="s">
        <v>15</v>
      </c>
      <c r="C58" s="128"/>
      <c r="D58" s="128"/>
      <c r="E58" s="36">
        <v>104</v>
      </c>
      <c r="F58" s="36">
        <v>92.7</v>
      </c>
      <c r="G58" s="36"/>
      <c r="H58" s="36">
        <v>96</v>
      </c>
      <c r="I58" s="36">
        <v>85.23</v>
      </c>
      <c r="J58" s="36"/>
      <c r="K58" s="36">
        <v>96</v>
      </c>
      <c r="L58" s="36">
        <v>87.4</v>
      </c>
      <c r="M58" s="36"/>
      <c r="N58" s="36">
        <v>88</v>
      </c>
      <c r="O58" s="36">
        <v>79.78</v>
      </c>
      <c r="P58" s="36"/>
      <c r="Q58" s="36">
        <v>84</v>
      </c>
      <c r="R58" s="37">
        <v>77.22</v>
      </c>
      <c r="S58" s="36"/>
      <c r="T58" s="36">
        <v>78</v>
      </c>
      <c r="U58" s="37">
        <v>73.459999999999994</v>
      </c>
      <c r="V58" s="36"/>
      <c r="W58" s="36">
        <v>78</v>
      </c>
      <c r="X58" s="37">
        <v>74.36</v>
      </c>
      <c r="Y58" s="36"/>
      <c r="Z58" s="36">
        <v>76</v>
      </c>
      <c r="AA58" s="37">
        <v>71.06</v>
      </c>
      <c r="AB58" s="36"/>
      <c r="AC58" s="36">
        <v>72</v>
      </c>
      <c r="AD58" s="37">
        <v>69</v>
      </c>
      <c r="AE58" s="36"/>
      <c r="AF58" s="36">
        <v>61</v>
      </c>
      <c r="AG58" s="37">
        <v>59</v>
      </c>
      <c r="AH58" s="36"/>
      <c r="AI58" s="36">
        <v>56</v>
      </c>
      <c r="AJ58" s="37">
        <v>53</v>
      </c>
      <c r="AK58" s="36"/>
      <c r="AL58" s="36">
        <v>56</v>
      </c>
      <c r="AM58" s="37">
        <v>52.52</v>
      </c>
      <c r="AN58" s="45"/>
      <c r="AO58" s="36">
        <v>56</v>
      </c>
      <c r="AP58" s="30">
        <v>53.25</v>
      </c>
      <c r="AQ58" s="30"/>
      <c r="AR58" s="36">
        <v>55</v>
      </c>
      <c r="AS58" s="30">
        <v>52.75</v>
      </c>
      <c r="AT58" s="30"/>
      <c r="AU58" s="70">
        <v>55</v>
      </c>
      <c r="AV58" s="71">
        <v>53.17</v>
      </c>
      <c r="AW58" s="71"/>
      <c r="AX58" s="66">
        <v>49</v>
      </c>
      <c r="AY58" s="69">
        <v>48.25</v>
      </c>
      <c r="AZ58" s="69"/>
      <c r="BA58" s="70">
        <v>46</v>
      </c>
      <c r="BB58" s="71">
        <v>45.33</v>
      </c>
      <c r="BC58" s="71"/>
      <c r="BD58" s="91"/>
      <c r="BE58" s="66">
        <v>43</v>
      </c>
      <c r="BF58" s="69">
        <v>42.666600000000003</v>
      </c>
      <c r="BG58" s="69"/>
    </row>
    <row r="59" spans="1:60" s="18" customFormat="1" ht="12" customHeight="1">
      <c r="A59" s="73"/>
      <c r="B59" s="128" t="s">
        <v>21</v>
      </c>
      <c r="C59" s="128"/>
      <c r="D59" s="128"/>
      <c r="E59" s="36">
        <v>48</v>
      </c>
      <c r="F59" s="36">
        <v>42.39</v>
      </c>
      <c r="G59" s="36"/>
      <c r="H59" s="36">
        <v>47</v>
      </c>
      <c r="I59" s="36">
        <v>43.47</v>
      </c>
      <c r="J59" s="36"/>
      <c r="K59" s="36">
        <v>58</v>
      </c>
      <c r="L59" s="36">
        <v>53.1</v>
      </c>
      <c r="M59" s="36"/>
      <c r="N59" s="36">
        <v>64</v>
      </c>
      <c r="O59" s="36">
        <v>60.59</v>
      </c>
      <c r="P59" s="36"/>
      <c r="Q59" s="36">
        <v>57</v>
      </c>
      <c r="R59" s="37">
        <v>49.66</v>
      </c>
      <c r="S59" s="36"/>
      <c r="T59" s="36">
        <v>53</v>
      </c>
      <c r="U59" s="37">
        <v>45.13</v>
      </c>
      <c r="V59" s="36"/>
      <c r="W59" s="36">
        <v>57</v>
      </c>
      <c r="X59" s="37">
        <v>48.68</v>
      </c>
      <c r="Y59" s="36"/>
      <c r="Z59" s="36">
        <v>50</v>
      </c>
      <c r="AA59" s="37">
        <v>41.11</v>
      </c>
      <c r="AB59" s="36"/>
      <c r="AC59" s="36">
        <v>55</v>
      </c>
      <c r="AD59" s="37">
        <v>49</v>
      </c>
      <c r="AE59" s="36"/>
      <c r="AF59" s="36">
        <v>60</v>
      </c>
      <c r="AG59" s="37">
        <v>61</v>
      </c>
      <c r="AH59" s="36"/>
      <c r="AI59" s="36">
        <v>67</v>
      </c>
      <c r="AJ59" s="37">
        <v>57</v>
      </c>
      <c r="AK59" s="36"/>
      <c r="AL59" s="36">
        <v>77</v>
      </c>
      <c r="AM59" s="37">
        <v>67.09</v>
      </c>
      <c r="AN59" s="45"/>
      <c r="AO59" s="36">
        <v>75</v>
      </c>
      <c r="AP59" s="30">
        <v>71.599999999999994</v>
      </c>
      <c r="AQ59" s="30"/>
      <c r="AR59" s="36">
        <v>70</v>
      </c>
      <c r="AS59" s="30">
        <v>67.17</v>
      </c>
      <c r="AT59" s="30"/>
      <c r="AU59" s="70">
        <v>55</v>
      </c>
      <c r="AV59" s="71">
        <v>52.5</v>
      </c>
      <c r="AW59" s="71"/>
      <c r="AX59" s="66">
        <v>60</v>
      </c>
      <c r="AY59" s="69">
        <v>58</v>
      </c>
      <c r="AZ59" s="69"/>
      <c r="BA59" s="70">
        <v>69</v>
      </c>
      <c r="BB59" s="71">
        <v>67.5</v>
      </c>
      <c r="BC59" s="71"/>
      <c r="BD59" s="73"/>
      <c r="BE59" s="66">
        <v>72</v>
      </c>
      <c r="BF59" s="69">
        <v>67.099999999999994</v>
      </c>
      <c r="BG59" s="69"/>
    </row>
    <row r="60" spans="1:60" s="18" customFormat="1" ht="12" customHeight="1">
      <c r="A60" s="73"/>
      <c r="B60" s="128" t="s">
        <v>20</v>
      </c>
      <c r="C60" s="128"/>
      <c r="D60" s="128"/>
      <c r="E60" s="36">
        <v>807</v>
      </c>
      <c r="F60" s="36">
        <v>309.67</v>
      </c>
      <c r="G60" s="36"/>
      <c r="H60" s="36">
        <v>837</v>
      </c>
      <c r="I60" s="36">
        <v>325.10000000000002</v>
      </c>
      <c r="J60" s="36"/>
      <c r="K60" s="36">
        <v>925</v>
      </c>
      <c r="L60" s="36">
        <v>351.93</v>
      </c>
      <c r="M60" s="36"/>
      <c r="N60" s="36">
        <v>696</v>
      </c>
      <c r="O60" s="36">
        <v>350.93</v>
      </c>
      <c r="P60" s="36"/>
      <c r="Q60" s="36">
        <v>664</v>
      </c>
      <c r="R60" s="37">
        <v>334</v>
      </c>
      <c r="S60" s="36">
        <v>33</v>
      </c>
      <c r="T60" s="36">
        <v>704</v>
      </c>
      <c r="U60" s="37">
        <v>357.56</v>
      </c>
      <c r="V60" s="36">
        <v>33</v>
      </c>
      <c r="W60" s="36">
        <v>722</v>
      </c>
      <c r="X60" s="37">
        <v>361.24</v>
      </c>
      <c r="Y60" s="36">
        <v>33</v>
      </c>
      <c r="Z60" s="36">
        <v>737</v>
      </c>
      <c r="AA60" s="37">
        <v>366.3</v>
      </c>
      <c r="AB60" s="36">
        <v>33</v>
      </c>
      <c r="AC60" s="36">
        <v>778</v>
      </c>
      <c r="AD60" s="37">
        <v>380</v>
      </c>
      <c r="AE60" s="36">
        <v>33</v>
      </c>
      <c r="AF60" s="36">
        <v>770</v>
      </c>
      <c r="AG60" s="37">
        <v>374</v>
      </c>
      <c r="AH60" s="36">
        <v>33</v>
      </c>
      <c r="AI60" s="36">
        <v>812</v>
      </c>
      <c r="AJ60" s="37">
        <v>385</v>
      </c>
      <c r="AK60" s="36">
        <v>33</v>
      </c>
      <c r="AL60" s="36">
        <v>818</v>
      </c>
      <c r="AM60" s="37">
        <v>379.92</v>
      </c>
      <c r="AN60" s="45"/>
      <c r="AO60" s="36">
        <v>913</v>
      </c>
      <c r="AP60" s="30">
        <v>453.24</v>
      </c>
      <c r="AQ60" s="30"/>
      <c r="AR60" s="36">
        <v>948</v>
      </c>
      <c r="AS60" s="30">
        <v>464.77</v>
      </c>
      <c r="AT60" s="30"/>
      <c r="AU60" s="70">
        <v>968</v>
      </c>
      <c r="AV60" s="71">
        <v>473.31</v>
      </c>
      <c r="AW60" s="71"/>
      <c r="AX60" s="66">
        <v>990</v>
      </c>
      <c r="AY60" s="69">
        <v>488.41</v>
      </c>
      <c r="AZ60" s="69"/>
      <c r="BA60" s="70">
        <v>1028</v>
      </c>
      <c r="BB60" s="71">
        <v>505.28</v>
      </c>
      <c r="BC60" s="71"/>
      <c r="BD60" s="73"/>
      <c r="BE60" s="66">
        <v>970</v>
      </c>
      <c r="BF60" s="69">
        <v>476.41669999999999</v>
      </c>
      <c r="BG60" s="69"/>
    </row>
    <row r="61" spans="1:60" s="18" customFormat="1" ht="12" customHeight="1">
      <c r="B61" s="20"/>
      <c r="C61" s="35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7"/>
      <c r="S61" s="36"/>
      <c r="T61" s="36"/>
      <c r="U61" s="37"/>
      <c r="V61" s="36"/>
      <c r="W61" s="36"/>
      <c r="X61" s="37"/>
      <c r="Y61" s="36"/>
      <c r="Z61" s="36"/>
      <c r="AA61" s="37"/>
      <c r="AB61" s="36"/>
      <c r="AC61" s="36"/>
      <c r="AD61" s="37"/>
      <c r="AE61" s="36"/>
      <c r="AF61" s="36"/>
      <c r="AG61" s="37"/>
      <c r="AH61" s="36"/>
      <c r="AI61" s="36"/>
      <c r="AJ61" s="37"/>
      <c r="AK61" s="36"/>
      <c r="AL61" s="36"/>
      <c r="AM61" s="37"/>
      <c r="AN61" s="37"/>
      <c r="AO61" s="36"/>
      <c r="AP61" s="30"/>
      <c r="AQ61" s="30"/>
      <c r="AR61" s="36"/>
      <c r="AS61" s="30"/>
      <c r="AT61" s="30"/>
      <c r="AU61" s="36"/>
      <c r="AV61" s="30"/>
      <c r="AW61" s="30"/>
      <c r="AX61" s="36"/>
      <c r="AY61" s="30"/>
      <c r="AZ61" s="30"/>
      <c r="BA61" s="36"/>
      <c r="BB61" s="30"/>
      <c r="BC61" s="30"/>
      <c r="BE61" s="36"/>
      <c r="BF61" s="30"/>
      <c r="BG61" s="30"/>
    </row>
    <row r="62" spans="1:60" s="18" customFormat="1" ht="12" customHeight="1">
      <c r="B62" s="20"/>
      <c r="C62" s="35"/>
      <c r="D62" s="3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7"/>
      <c r="S62" s="36"/>
      <c r="T62" s="36"/>
      <c r="U62" s="37"/>
      <c r="V62" s="36"/>
      <c r="W62" s="36"/>
      <c r="X62" s="37"/>
      <c r="Y62" s="36"/>
      <c r="Z62" s="36"/>
      <c r="AA62" s="37"/>
      <c r="AB62" s="36"/>
      <c r="AC62" s="36"/>
      <c r="AD62" s="37"/>
      <c r="AE62" s="36"/>
      <c r="AF62" s="36"/>
      <c r="AG62" s="37"/>
      <c r="AH62" s="36"/>
      <c r="AI62" s="36"/>
      <c r="AJ62" s="37"/>
      <c r="AK62" s="36"/>
      <c r="AL62" s="36"/>
      <c r="AM62" s="37"/>
      <c r="AN62" s="37"/>
      <c r="AO62" s="36"/>
      <c r="AP62" s="30"/>
      <c r="AQ62" s="30"/>
      <c r="AR62" s="36"/>
      <c r="AS62" s="30"/>
      <c r="AT62" s="30"/>
      <c r="AU62" s="36"/>
      <c r="AV62" s="30"/>
      <c r="AW62" s="30"/>
      <c r="AX62" s="36"/>
      <c r="AY62" s="30"/>
      <c r="AZ62" s="30"/>
      <c r="BA62" s="36"/>
      <c r="BB62" s="30"/>
      <c r="BC62" s="30"/>
      <c r="BE62" s="36"/>
      <c r="BF62" s="30"/>
      <c r="BG62" s="30"/>
    </row>
    <row r="63" spans="1:60" s="32" customFormat="1" ht="15" customHeight="1">
      <c r="A63" s="139" t="s">
        <v>39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E63" s="62"/>
      <c r="BF63" s="62"/>
      <c r="BG63" s="62"/>
      <c r="BH63" s="62"/>
    </row>
    <row r="64" spans="1:60" s="1" customFormat="1" ht="15" customHeight="1">
      <c r="A64" s="1" t="s">
        <v>0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E64" s="27"/>
      <c r="BF64" s="27"/>
      <c r="BG64" s="27"/>
    </row>
    <row r="65" spans="1:60" s="2" customFormat="1" ht="24" customHeight="1">
      <c r="A65" s="140" t="s">
        <v>42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64"/>
      <c r="BF65" s="64"/>
      <c r="BG65" s="64"/>
      <c r="BH65" s="64"/>
    </row>
    <row r="66" spans="1:60" s="79" customFormat="1" ht="15" customHeight="1">
      <c r="A66" s="139" t="s">
        <v>33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</row>
    <row r="67" spans="1:60" s="79" customFormat="1" ht="1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</row>
    <row r="68" spans="1:60" s="3" customFormat="1" ht="1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E68" s="62"/>
      <c r="BF68" s="62"/>
      <c r="BG68" s="62"/>
    </row>
    <row r="69" spans="1:60" s="97" customFormat="1" ht="12" customHeight="1">
      <c r="A69" s="95"/>
      <c r="B69" s="95"/>
      <c r="C69" s="95"/>
      <c r="D69" s="95"/>
      <c r="E69" s="96" t="s">
        <v>9</v>
      </c>
      <c r="F69" s="96"/>
      <c r="G69" s="96"/>
      <c r="H69" s="96" t="s">
        <v>10</v>
      </c>
      <c r="I69" s="96"/>
      <c r="J69" s="96"/>
      <c r="K69" s="96" t="s">
        <v>13</v>
      </c>
      <c r="L69" s="96"/>
      <c r="M69" s="96"/>
      <c r="N69" s="96" t="s">
        <v>14</v>
      </c>
      <c r="O69" s="96"/>
      <c r="P69" s="96"/>
      <c r="Q69" s="96" t="s">
        <v>43</v>
      </c>
      <c r="R69" s="96"/>
      <c r="S69" s="96"/>
      <c r="T69" s="96" t="s">
        <v>22</v>
      </c>
      <c r="U69" s="96"/>
      <c r="V69" s="96"/>
      <c r="W69" s="130" t="s">
        <v>23</v>
      </c>
      <c r="X69" s="130"/>
      <c r="Y69" s="96"/>
      <c r="Z69" s="130" t="s">
        <v>25</v>
      </c>
      <c r="AA69" s="130"/>
      <c r="AB69" s="96"/>
      <c r="AC69" s="130" t="s">
        <v>26</v>
      </c>
      <c r="AD69" s="130"/>
      <c r="AE69" s="96"/>
      <c r="AF69" s="130" t="s">
        <v>28</v>
      </c>
      <c r="AG69" s="130"/>
      <c r="AH69" s="96"/>
      <c r="AI69" s="130" t="s">
        <v>29</v>
      </c>
      <c r="AJ69" s="130"/>
      <c r="AK69" s="96"/>
      <c r="AL69" s="130" t="s">
        <v>30</v>
      </c>
      <c r="AM69" s="130"/>
      <c r="AN69" s="96"/>
      <c r="AO69" s="129" t="s">
        <v>44</v>
      </c>
      <c r="AP69" s="130"/>
      <c r="AQ69" s="96"/>
      <c r="AR69" s="131" t="s">
        <v>45</v>
      </c>
      <c r="AS69" s="131"/>
      <c r="AT69" s="131"/>
      <c r="AU69" s="136" t="s">
        <v>50</v>
      </c>
      <c r="AV69" s="136"/>
      <c r="AW69" s="136"/>
      <c r="AX69" s="135" t="s">
        <v>51</v>
      </c>
      <c r="AY69" s="135"/>
      <c r="AZ69" s="135"/>
      <c r="BA69" s="136" t="s">
        <v>52</v>
      </c>
      <c r="BB69" s="136"/>
      <c r="BC69" s="136"/>
      <c r="BD69" s="121"/>
      <c r="BE69" s="135" t="s">
        <v>53</v>
      </c>
      <c r="BF69" s="135"/>
      <c r="BG69" s="135"/>
    </row>
    <row r="70" spans="1:60" s="100" customFormat="1" ht="15" customHeight="1">
      <c r="A70" s="142" t="s">
        <v>16</v>
      </c>
      <c r="B70" s="142"/>
      <c r="C70" s="142"/>
      <c r="D70" s="142"/>
      <c r="E70" s="122" t="s">
        <v>7</v>
      </c>
      <c r="F70" s="122" t="s">
        <v>12</v>
      </c>
      <c r="G70" s="122"/>
      <c r="H70" s="122" t="s">
        <v>8</v>
      </c>
      <c r="I70" s="122" t="s">
        <v>12</v>
      </c>
      <c r="J70" s="122"/>
      <c r="K70" s="122" t="s">
        <v>8</v>
      </c>
      <c r="L70" s="122" t="s">
        <v>12</v>
      </c>
      <c r="M70" s="122"/>
      <c r="N70" s="122" t="s">
        <v>8</v>
      </c>
      <c r="O70" s="122" t="s">
        <v>12</v>
      </c>
      <c r="P70" s="122"/>
      <c r="Q70" s="122" t="s">
        <v>8</v>
      </c>
      <c r="R70" s="122" t="s">
        <v>12</v>
      </c>
      <c r="S70" s="122"/>
      <c r="T70" s="122" t="s">
        <v>8</v>
      </c>
      <c r="U70" s="122" t="s">
        <v>12</v>
      </c>
      <c r="V70" s="122"/>
      <c r="W70" s="122" t="s">
        <v>8</v>
      </c>
      <c r="X70" s="122" t="s">
        <v>12</v>
      </c>
      <c r="Y70" s="122"/>
      <c r="Z70" s="122" t="s">
        <v>8</v>
      </c>
      <c r="AA70" s="122" t="s">
        <v>12</v>
      </c>
      <c r="AB70" s="122"/>
      <c r="AC70" s="122" t="s">
        <v>8</v>
      </c>
      <c r="AD70" s="122" t="s">
        <v>12</v>
      </c>
      <c r="AE70" s="122"/>
      <c r="AF70" s="122" t="s">
        <v>8</v>
      </c>
      <c r="AG70" s="122" t="s">
        <v>12</v>
      </c>
      <c r="AH70" s="122"/>
      <c r="AI70" s="122" t="s">
        <v>8</v>
      </c>
      <c r="AJ70" s="122" t="s">
        <v>12</v>
      </c>
      <c r="AK70" s="122"/>
      <c r="AL70" s="122" t="s">
        <v>8</v>
      </c>
      <c r="AM70" s="122" t="s">
        <v>12</v>
      </c>
      <c r="AN70" s="122"/>
      <c r="AO70" s="122" t="s">
        <v>8</v>
      </c>
      <c r="AP70" s="122" t="s">
        <v>12</v>
      </c>
      <c r="AQ70" s="122"/>
      <c r="AR70" s="122" t="s">
        <v>41</v>
      </c>
      <c r="AS70" s="122" t="s">
        <v>12</v>
      </c>
      <c r="AT70" s="122"/>
      <c r="AU70" s="123" t="s">
        <v>41</v>
      </c>
      <c r="AV70" s="123" t="s">
        <v>12</v>
      </c>
      <c r="AW70" s="123"/>
      <c r="AX70" s="122" t="s">
        <v>41</v>
      </c>
      <c r="AY70" s="122" t="s">
        <v>12</v>
      </c>
      <c r="AZ70" s="122"/>
      <c r="BA70" s="123" t="s">
        <v>41</v>
      </c>
      <c r="BB70" s="123" t="s">
        <v>12</v>
      </c>
      <c r="BC70" s="123"/>
      <c r="BD70" s="124"/>
      <c r="BE70" s="122" t="s">
        <v>41</v>
      </c>
      <c r="BF70" s="122" t="s">
        <v>12</v>
      </c>
      <c r="BG70" s="122"/>
      <c r="BH70" s="124"/>
    </row>
    <row r="71" spans="1:60" s="10" customFormat="1" ht="17.25" customHeight="1">
      <c r="A71" s="133" t="s">
        <v>5</v>
      </c>
      <c r="B71" s="133"/>
      <c r="C71" s="133"/>
      <c r="D71" s="133"/>
      <c r="E71" s="50">
        <f t="shared" ref="E71:AM71" si="29">SUM(E72:E78)</f>
        <v>400</v>
      </c>
      <c r="F71" s="50">
        <f t="shared" si="29"/>
        <v>353.32000000000005</v>
      </c>
      <c r="G71" s="50">
        <f t="shared" si="29"/>
        <v>0</v>
      </c>
      <c r="H71" s="50">
        <f t="shared" si="29"/>
        <v>421</v>
      </c>
      <c r="I71" s="50">
        <f t="shared" si="29"/>
        <v>374.23</v>
      </c>
      <c r="J71" s="50">
        <f t="shared" si="29"/>
        <v>0</v>
      </c>
      <c r="K71" s="50">
        <f t="shared" si="29"/>
        <v>440</v>
      </c>
      <c r="L71" s="50">
        <f t="shared" si="29"/>
        <v>385.76</v>
      </c>
      <c r="M71" s="50">
        <f t="shared" si="29"/>
        <v>0</v>
      </c>
      <c r="N71" s="50">
        <f t="shared" si="29"/>
        <v>447</v>
      </c>
      <c r="O71" s="50">
        <f t="shared" si="29"/>
        <v>385.40000000000003</v>
      </c>
      <c r="P71" s="50">
        <f t="shared" si="29"/>
        <v>0</v>
      </c>
      <c r="Q71" s="50">
        <f t="shared" si="29"/>
        <v>465</v>
      </c>
      <c r="R71" s="50">
        <f t="shared" si="29"/>
        <v>404.58</v>
      </c>
      <c r="S71" s="50">
        <f t="shared" si="29"/>
        <v>0</v>
      </c>
      <c r="T71" s="50">
        <f t="shared" si="29"/>
        <v>447</v>
      </c>
      <c r="U71" s="50">
        <f t="shared" si="29"/>
        <v>387.46999999999997</v>
      </c>
      <c r="V71" s="50">
        <f t="shared" si="29"/>
        <v>0</v>
      </c>
      <c r="W71" s="50">
        <f t="shared" si="29"/>
        <v>495</v>
      </c>
      <c r="X71" s="50">
        <f t="shared" si="29"/>
        <v>439.34999999999997</v>
      </c>
      <c r="Y71" s="50">
        <f t="shared" si="29"/>
        <v>0</v>
      </c>
      <c r="Z71" s="50">
        <f t="shared" si="29"/>
        <v>514</v>
      </c>
      <c r="AA71" s="50">
        <f t="shared" si="29"/>
        <v>458.17</v>
      </c>
      <c r="AB71" s="50">
        <f t="shared" si="29"/>
        <v>0</v>
      </c>
      <c r="AC71" s="50">
        <f t="shared" si="29"/>
        <v>507</v>
      </c>
      <c r="AD71" s="50">
        <f t="shared" si="29"/>
        <v>453</v>
      </c>
      <c r="AE71" s="50">
        <f t="shared" si="29"/>
        <v>0</v>
      </c>
      <c r="AF71" s="50">
        <f t="shared" si="29"/>
        <v>507</v>
      </c>
      <c r="AG71" s="50">
        <f t="shared" si="29"/>
        <v>448</v>
      </c>
      <c r="AH71" s="50">
        <f t="shared" si="29"/>
        <v>0</v>
      </c>
      <c r="AI71" s="50">
        <f t="shared" si="29"/>
        <v>501</v>
      </c>
      <c r="AJ71" s="50">
        <f t="shared" si="29"/>
        <v>447</v>
      </c>
      <c r="AK71" s="50">
        <f t="shared" si="29"/>
        <v>0</v>
      </c>
      <c r="AL71" s="50">
        <f t="shared" si="29"/>
        <v>510</v>
      </c>
      <c r="AM71" s="50">
        <f t="shared" si="29"/>
        <v>456.73</v>
      </c>
      <c r="AN71" s="15"/>
      <c r="AO71" s="50">
        <f t="shared" ref="AO71:AP71" si="30">SUM(AO72:AO78)</f>
        <v>529</v>
      </c>
      <c r="AP71" s="57">
        <f t="shared" si="30"/>
        <v>479.28</v>
      </c>
      <c r="AQ71" s="57"/>
      <c r="AR71" s="50">
        <f t="shared" ref="AR71:AS71" si="31">SUM(AR72:AR78)</f>
        <v>536</v>
      </c>
      <c r="AS71" s="57">
        <f t="shared" si="31"/>
        <v>484.13999999999993</v>
      </c>
      <c r="AT71" s="57"/>
      <c r="AU71" s="80">
        <f t="shared" ref="AU71:AV71" si="32">SUM(AU72:AU78)</f>
        <v>576</v>
      </c>
      <c r="AV71" s="98">
        <f t="shared" si="32"/>
        <v>519.42999999999995</v>
      </c>
      <c r="AW71" s="98"/>
      <c r="AX71" s="82">
        <f t="shared" ref="AX71:AY71" si="33">SUM(AX72:AX78)</f>
        <v>609</v>
      </c>
      <c r="AY71" s="99">
        <f t="shared" si="33"/>
        <v>550.66999999999996</v>
      </c>
      <c r="AZ71" s="99"/>
      <c r="BA71" s="80">
        <f>SUM(BA72:BA78)</f>
        <v>606</v>
      </c>
      <c r="BB71" s="98">
        <f>SUM(BB72:BB78)</f>
        <v>555.25</v>
      </c>
      <c r="BC71" s="98"/>
      <c r="BD71" s="100"/>
      <c r="BE71" s="82">
        <f>SUM(BE72:BE78)</f>
        <v>645</v>
      </c>
      <c r="BF71" s="99">
        <f>SUM(BF72:BF78)</f>
        <v>588.95709999999997</v>
      </c>
      <c r="BG71" s="99"/>
      <c r="BH71" s="100"/>
    </row>
    <row r="72" spans="1:60" s="6" customFormat="1" ht="12" customHeight="1">
      <c r="A72" s="65"/>
      <c r="B72" s="128" t="s">
        <v>17</v>
      </c>
      <c r="C72" s="128"/>
      <c r="D72" s="128"/>
      <c r="E72" s="39">
        <v>92</v>
      </c>
      <c r="F72" s="39">
        <v>88</v>
      </c>
      <c r="G72" s="39"/>
      <c r="H72" s="39">
        <v>95</v>
      </c>
      <c r="I72" s="39">
        <v>91.46</v>
      </c>
      <c r="J72" s="39"/>
      <c r="K72" s="39">
        <v>97</v>
      </c>
      <c r="L72" s="39">
        <v>94</v>
      </c>
      <c r="M72" s="39"/>
      <c r="N72" s="39">
        <v>100</v>
      </c>
      <c r="O72" s="39">
        <v>96</v>
      </c>
      <c r="P72" s="39"/>
      <c r="Q72" s="39">
        <v>100</v>
      </c>
      <c r="R72" s="33">
        <f>28.49+68.73</f>
        <v>97.22</v>
      </c>
      <c r="S72" s="39"/>
      <c r="T72" s="39">
        <f>70+29</f>
        <v>99</v>
      </c>
      <c r="U72" s="33">
        <f>66.22+27.34</f>
        <v>93.56</v>
      </c>
      <c r="V72" s="39"/>
      <c r="W72" s="39">
        <f>75+26</f>
        <v>101</v>
      </c>
      <c r="X72" s="33">
        <f>72.9+25.49</f>
        <v>98.39</v>
      </c>
      <c r="Y72" s="39"/>
      <c r="Z72" s="39">
        <f>70+31</f>
        <v>101</v>
      </c>
      <c r="AA72" s="33">
        <f>67.76+31</f>
        <v>98.76</v>
      </c>
      <c r="AB72" s="39"/>
      <c r="AC72" s="39">
        <v>104</v>
      </c>
      <c r="AD72" s="33">
        <v>100</v>
      </c>
      <c r="AE72" s="39"/>
      <c r="AF72" s="39">
        <v>110</v>
      </c>
      <c r="AG72" s="33">
        <v>105</v>
      </c>
      <c r="AH72" s="39"/>
      <c r="AI72" s="39">
        <v>111</v>
      </c>
      <c r="AJ72" s="33">
        <v>105</v>
      </c>
      <c r="AK72" s="39"/>
      <c r="AL72" s="39">
        <v>111</v>
      </c>
      <c r="AM72" s="33">
        <v>102.44</v>
      </c>
      <c r="AN72" s="138" t="s">
        <v>32</v>
      </c>
      <c r="AO72" s="36">
        <v>110</v>
      </c>
      <c r="AP72" s="30">
        <v>107.48</v>
      </c>
      <c r="AQ72" s="30"/>
      <c r="AR72" s="36">
        <v>104</v>
      </c>
      <c r="AS72" s="30">
        <v>101.42</v>
      </c>
      <c r="AT72" s="30"/>
      <c r="AU72" s="70">
        <v>112</v>
      </c>
      <c r="AV72" s="71">
        <v>109.65</v>
      </c>
      <c r="AW72" s="71"/>
      <c r="AX72" s="66">
        <f>79+36</f>
        <v>115</v>
      </c>
      <c r="AY72" s="69">
        <f>75.98+35.67</f>
        <v>111.65</v>
      </c>
      <c r="AZ72" s="69"/>
      <c r="BA72" s="70">
        <v>110</v>
      </c>
      <c r="BB72" s="71">
        <v>106.82</v>
      </c>
      <c r="BC72" s="71"/>
      <c r="BD72" s="101"/>
      <c r="BE72" s="66">
        <v>111</v>
      </c>
      <c r="BF72" s="69">
        <v>108.63339999999999</v>
      </c>
      <c r="BG72" s="69"/>
      <c r="BH72" s="101"/>
    </row>
    <row r="73" spans="1:60" s="6" customFormat="1" ht="12" customHeight="1">
      <c r="A73" s="72"/>
      <c r="B73" s="127" t="s">
        <v>40</v>
      </c>
      <c r="C73" s="127"/>
      <c r="D73" s="127"/>
      <c r="E73" s="53">
        <v>34</v>
      </c>
      <c r="F73" s="39">
        <v>28</v>
      </c>
      <c r="G73" s="39"/>
      <c r="H73" s="39">
        <v>37</v>
      </c>
      <c r="I73" s="39">
        <v>31.54</v>
      </c>
      <c r="J73" s="39"/>
      <c r="K73" s="39">
        <v>40</v>
      </c>
      <c r="L73" s="39">
        <v>33</v>
      </c>
      <c r="M73" s="39"/>
      <c r="N73" s="39">
        <v>47</v>
      </c>
      <c r="O73" s="39">
        <v>38</v>
      </c>
      <c r="P73" s="39"/>
      <c r="Q73" s="39">
        <f>155-71-29</f>
        <v>55</v>
      </c>
      <c r="R73" s="33">
        <f>142.26-68.73-28.49</f>
        <v>45.039999999999992</v>
      </c>
      <c r="S73" s="39"/>
      <c r="T73" s="39">
        <f>153-70-29</f>
        <v>54</v>
      </c>
      <c r="U73" s="33">
        <f>138.32-66.22-27.34</f>
        <v>44.759999999999991</v>
      </c>
      <c r="V73" s="39"/>
      <c r="W73" s="39">
        <f>163-W72</f>
        <v>62</v>
      </c>
      <c r="X73" s="33">
        <f>149.69-X72</f>
        <v>51.3</v>
      </c>
      <c r="Y73" s="39"/>
      <c r="Z73" s="39">
        <f>169-Z72</f>
        <v>68</v>
      </c>
      <c r="AA73" s="33">
        <f>156.83-AA72</f>
        <v>58.070000000000007</v>
      </c>
      <c r="AB73" s="39"/>
      <c r="AC73" s="39">
        <v>74</v>
      </c>
      <c r="AD73" s="33">
        <v>65</v>
      </c>
      <c r="AE73" s="39"/>
      <c r="AF73" s="39">
        <v>75</v>
      </c>
      <c r="AG73" s="33">
        <v>66</v>
      </c>
      <c r="AH73" s="39"/>
      <c r="AI73" s="39">
        <v>74</v>
      </c>
      <c r="AJ73" s="33">
        <v>67</v>
      </c>
      <c r="AK73" s="39"/>
      <c r="AL73" s="39">
        <v>73</v>
      </c>
      <c r="AM73" s="33">
        <v>66.180000000000007</v>
      </c>
      <c r="AN73" s="138"/>
      <c r="AO73" s="36">
        <v>76</v>
      </c>
      <c r="AP73" s="30">
        <v>70.25</v>
      </c>
      <c r="AQ73" s="30"/>
      <c r="AR73" s="36">
        <v>76</v>
      </c>
      <c r="AS73" s="30">
        <v>70.400000000000006</v>
      </c>
      <c r="AT73" s="30"/>
      <c r="AU73" s="70">
        <v>73</v>
      </c>
      <c r="AV73" s="71">
        <v>69</v>
      </c>
      <c r="AW73" s="71"/>
      <c r="AX73" s="66">
        <v>64</v>
      </c>
      <c r="AY73" s="69">
        <v>59.75</v>
      </c>
      <c r="AZ73" s="69"/>
      <c r="BA73" s="70">
        <v>58</v>
      </c>
      <c r="BB73" s="71">
        <v>54.5</v>
      </c>
      <c r="BC73" s="71"/>
      <c r="BD73" s="101"/>
      <c r="BE73" s="66">
        <v>45</v>
      </c>
      <c r="BF73" s="69">
        <v>42.098700000000001</v>
      </c>
      <c r="BG73" s="69"/>
      <c r="BH73" s="101"/>
    </row>
    <row r="74" spans="1:60" s="6" customFormat="1" ht="12" customHeight="1">
      <c r="A74" s="65"/>
      <c r="B74" s="127" t="s">
        <v>18</v>
      </c>
      <c r="C74" s="127"/>
      <c r="D74" s="127"/>
      <c r="E74" s="39">
        <v>91</v>
      </c>
      <c r="F74" s="39">
        <v>87.03</v>
      </c>
      <c r="G74" s="39"/>
      <c r="H74" s="39">
        <v>102</v>
      </c>
      <c r="I74" s="39">
        <v>94.42</v>
      </c>
      <c r="J74" s="39"/>
      <c r="K74" s="39">
        <v>105</v>
      </c>
      <c r="L74" s="39">
        <v>98.29</v>
      </c>
      <c r="M74" s="39"/>
      <c r="N74" s="39">
        <v>101</v>
      </c>
      <c r="O74" s="39">
        <v>95.3</v>
      </c>
      <c r="P74" s="39"/>
      <c r="Q74" s="39">
        <v>104</v>
      </c>
      <c r="R74" s="33">
        <v>100.37</v>
      </c>
      <c r="S74" s="39"/>
      <c r="T74" s="39">
        <v>107</v>
      </c>
      <c r="U74" s="33">
        <v>101.54</v>
      </c>
      <c r="V74" s="39"/>
      <c r="W74" s="39">
        <v>130</v>
      </c>
      <c r="X74" s="33">
        <v>124.08</v>
      </c>
      <c r="Y74" s="39"/>
      <c r="Z74" s="39">
        <v>135</v>
      </c>
      <c r="AA74" s="33">
        <v>129.04</v>
      </c>
      <c r="AB74" s="39"/>
      <c r="AC74" s="39">
        <v>140</v>
      </c>
      <c r="AD74" s="33">
        <v>133</v>
      </c>
      <c r="AE74" s="39"/>
      <c r="AF74" s="39">
        <v>139</v>
      </c>
      <c r="AG74" s="33">
        <v>133</v>
      </c>
      <c r="AH74" s="39"/>
      <c r="AI74" s="39">
        <v>142</v>
      </c>
      <c r="AJ74" s="33">
        <v>135</v>
      </c>
      <c r="AK74" s="39"/>
      <c r="AL74" s="39">
        <v>153</v>
      </c>
      <c r="AM74" s="33">
        <v>147.68</v>
      </c>
      <c r="AN74" s="138"/>
      <c r="AO74" s="36">
        <v>144</v>
      </c>
      <c r="AP74" s="30">
        <v>140</v>
      </c>
      <c r="AQ74" s="30"/>
      <c r="AR74" s="36">
        <v>151</v>
      </c>
      <c r="AS74" s="30">
        <v>146.97</v>
      </c>
      <c r="AT74" s="30"/>
      <c r="AU74" s="70">
        <v>166</v>
      </c>
      <c r="AV74" s="71">
        <v>159.88</v>
      </c>
      <c r="AW74" s="71"/>
      <c r="AX74" s="66">
        <v>183</v>
      </c>
      <c r="AY74" s="69">
        <v>180.12</v>
      </c>
      <c r="AZ74" s="69"/>
      <c r="BA74" s="70">
        <v>196</v>
      </c>
      <c r="BB74" s="71">
        <v>192.68</v>
      </c>
      <c r="BC74" s="71"/>
      <c r="BD74" s="101"/>
      <c r="BE74" s="66">
        <v>200</v>
      </c>
      <c r="BF74" s="69">
        <v>196.875</v>
      </c>
      <c r="BG74" s="69"/>
      <c r="BH74" s="101"/>
    </row>
    <row r="75" spans="1:60" s="6" customFormat="1" ht="12" customHeight="1">
      <c r="A75" s="72"/>
      <c r="B75" s="127" t="s">
        <v>19</v>
      </c>
      <c r="C75" s="127"/>
      <c r="D75" s="127"/>
      <c r="E75" s="39">
        <v>0</v>
      </c>
      <c r="F75" s="39">
        <v>0</v>
      </c>
      <c r="G75" s="39"/>
      <c r="H75" s="39">
        <v>0</v>
      </c>
      <c r="I75" s="39">
        <v>0</v>
      </c>
      <c r="J75" s="39"/>
      <c r="K75" s="39">
        <v>0</v>
      </c>
      <c r="L75" s="39">
        <v>0</v>
      </c>
      <c r="M75" s="39"/>
      <c r="N75" s="39">
        <v>0</v>
      </c>
      <c r="O75" s="39">
        <v>0</v>
      </c>
      <c r="P75" s="39"/>
      <c r="Q75" s="39">
        <v>1</v>
      </c>
      <c r="R75" s="33">
        <v>0.2</v>
      </c>
      <c r="S75" s="39"/>
      <c r="T75" s="39">
        <v>1</v>
      </c>
      <c r="U75" s="33">
        <v>0.2</v>
      </c>
      <c r="V75" s="39"/>
      <c r="W75" s="39">
        <v>1</v>
      </c>
      <c r="X75" s="33">
        <v>0.11</v>
      </c>
      <c r="Y75" s="39"/>
      <c r="Z75" s="39">
        <v>0</v>
      </c>
      <c r="AA75" s="33">
        <v>0</v>
      </c>
      <c r="AB75" s="39"/>
      <c r="AC75" s="39">
        <v>0</v>
      </c>
      <c r="AD75" s="33">
        <v>0</v>
      </c>
      <c r="AE75" s="39"/>
      <c r="AF75" s="39">
        <v>0</v>
      </c>
      <c r="AG75" s="33">
        <v>0</v>
      </c>
      <c r="AH75" s="39"/>
      <c r="AI75" s="39">
        <v>1</v>
      </c>
      <c r="AJ75" s="33">
        <v>1</v>
      </c>
      <c r="AK75" s="39"/>
      <c r="AL75" s="39">
        <v>1</v>
      </c>
      <c r="AM75" s="33">
        <v>0.5</v>
      </c>
      <c r="AN75" s="138"/>
      <c r="AO75" s="36">
        <v>2</v>
      </c>
      <c r="AP75" s="30">
        <v>2</v>
      </c>
      <c r="AQ75" s="30"/>
      <c r="AR75" s="36">
        <v>1</v>
      </c>
      <c r="AS75" s="30">
        <v>1</v>
      </c>
      <c r="AT75" s="30"/>
      <c r="AU75" s="70">
        <v>1</v>
      </c>
      <c r="AV75" s="71">
        <v>0.2</v>
      </c>
      <c r="AW75" s="71"/>
      <c r="AX75" s="66">
        <v>2</v>
      </c>
      <c r="AY75" s="69">
        <v>1.2</v>
      </c>
      <c r="AZ75" s="69"/>
      <c r="BA75" s="70">
        <v>3</v>
      </c>
      <c r="BB75" s="71">
        <v>2.2000000000000002</v>
      </c>
      <c r="BC75" s="71"/>
      <c r="BD75" s="101"/>
      <c r="BE75" s="66">
        <v>2</v>
      </c>
      <c r="BF75" s="69">
        <v>2</v>
      </c>
      <c r="BG75" s="69"/>
      <c r="BH75" s="101"/>
    </row>
    <row r="76" spans="1:60" ht="12" customHeight="1">
      <c r="A76" s="72"/>
      <c r="B76" s="127" t="s">
        <v>15</v>
      </c>
      <c r="C76" s="127"/>
      <c r="D76" s="127"/>
      <c r="E76" s="39">
        <v>124</v>
      </c>
      <c r="F76" s="39">
        <v>122.31</v>
      </c>
      <c r="G76" s="39"/>
      <c r="H76" s="39">
        <v>120</v>
      </c>
      <c r="I76" s="39">
        <v>117.57</v>
      </c>
      <c r="J76" s="39"/>
      <c r="K76" s="39">
        <v>118</v>
      </c>
      <c r="L76" s="39">
        <v>110.77</v>
      </c>
      <c r="M76" s="39"/>
      <c r="N76" s="39">
        <v>112</v>
      </c>
      <c r="O76" s="39">
        <v>106.3</v>
      </c>
      <c r="P76" s="39"/>
      <c r="Q76" s="39">
        <v>117</v>
      </c>
      <c r="R76" s="33">
        <v>111.69</v>
      </c>
      <c r="S76" s="39"/>
      <c r="T76" s="39">
        <v>119</v>
      </c>
      <c r="U76" s="33">
        <v>112.85</v>
      </c>
      <c r="V76" s="39"/>
      <c r="W76" s="39">
        <v>129</v>
      </c>
      <c r="X76" s="33">
        <v>122.98</v>
      </c>
      <c r="Y76" s="39"/>
      <c r="Z76" s="39">
        <v>133</v>
      </c>
      <c r="AA76" s="33">
        <v>126.98</v>
      </c>
      <c r="AB76" s="39"/>
      <c r="AC76" s="39">
        <v>121</v>
      </c>
      <c r="AD76" s="33">
        <v>117</v>
      </c>
      <c r="AE76" s="39"/>
      <c r="AF76" s="39">
        <v>109</v>
      </c>
      <c r="AG76" s="33">
        <v>104</v>
      </c>
      <c r="AH76" s="39"/>
      <c r="AI76" s="39">
        <v>99</v>
      </c>
      <c r="AJ76" s="33">
        <v>97</v>
      </c>
      <c r="AK76" s="39"/>
      <c r="AL76" s="39">
        <v>96</v>
      </c>
      <c r="AM76" s="33">
        <v>93.16</v>
      </c>
      <c r="AN76" s="138"/>
      <c r="AO76" s="36">
        <v>105</v>
      </c>
      <c r="AP76" s="30">
        <v>97.65</v>
      </c>
      <c r="AQ76" s="30"/>
      <c r="AR76" s="36">
        <v>112</v>
      </c>
      <c r="AS76" s="30">
        <v>103.95</v>
      </c>
      <c r="AT76" s="30"/>
      <c r="AU76" s="70">
        <v>116</v>
      </c>
      <c r="AV76" s="71">
        <v>109.45</v>
      </c>
      <c r="AW76" s="71"/>
      <c r="AX76" s="66">
        <v>120</v>
      </c>
      <c r="AY76" s="69">
        <v>112.1</v>
      </c>
      <c r="AZ76" s="69"/>
      <c r="BA76" s="70">
        <v>115</v>
      </c>
      <c r="BB76" s="71">
        <v>109.4</v>
      </c>
      <c r="BC76" s="71"/>
      <c r="BD76" s="102"/>
      <c r="BE76" s="66">
        <v>122</v>
      </c>
      <c r="BF76" s="69">
        <v>117.35</v>
      </c>
      <c r="BG76" s="69"/>
      <c r="BH76" s="102"/>
    </row>
    <row r="77" spans="1:60" ht="12" customHeight="1">
      <c r="A77" s="72"/>
      <c r="B77" s="127" t="s">
        <v>21</v>
      </c>
      <c r="C77" s="127"/>
      <c r="D77" s="127"/>
      <c r="E77" s="39">
        <v>6</v>
      </c>
      <c r="F77" s="39">
        <v>5.7</v>
      </c>
      <c r="G77" s="39"/>
      <c r="H77" s="39">
        <v>14</v>
      </c>
      <c r="I77" s="39">
        <v>13.87</v>
      </c>
      <c r="J77" s="39"/>
      <c r="K77" s="39">
        <v>20</v>
      </c>
      <c r="L77" s="39">
        <v>19.57</v>
      </c>
      <c r="M77" s="39"/>
      <c r="N77" s="39">
        <v>18</v>
      </c>
      <c r="O77" s="39">
        <v>16.37</v>
      </c>
      <c r="P77" s="39"/>
      <c r="Q77" s="39">
        <v>22</v>
      </c>
      <c r="R77" s="33">
        <v>18.37</v>
      </c>
      <c r="S77" s="39"/>
      <c r="T77" s="39">
        <v>13</v>
      </c>
      <c r="U77" s="33">
        <v>9.5</v>
      </c>
      <c r="V77" s="39"/>
      <c r="W77" s="39">
        <v>14</v>
      </c>
      <c r="X77" s="33">
        <v>13.15</v>
      </c>
      <c r="Y77" s="39"/>
      <c r="Z77" s="39">
        <v>17</v>
      </c>
      <c r="AA77" s="33">
        <v>15</v>
      </c>
      <c r="AB77" s="39"/>
      <c r="AC77" s="39">
        <v>12</v>
      </c>
      <c r="AD77" s="33">
        <v>11</v>
      </c>
      <c r="AE77" s="39"/>
      <c r="AF77" s="39">
        <v>14</v>
      </c>
      <c r="AG77" s="33">
        <v>13</v>
      </c>
      <c r="AH77" s="39"/>
      <c r="AI77" s="39">
        <v>18</v>
      </c>
      <c r="AJ77" s="33">
        <v>16</v>
      </c>
      <c r="AK77" s="39"/>
      <c r="AL77" s="39">
        <v>27</v>
      </c>
      <c r="AM77" s="33">
        <v>22.93</v>
      </c>
      <c r="AN77" s="138"/>
      <c r="AO77" s="36">
        <v>35</v>
      </c>
      <c r="AP77" s="30">
        <v>33.65</v>
      </c>
      <c r="AQ77" s="30"/>
      <c r="AR77" s="36">
        <v>32</v>
      </c>
      <c r="AS77" s="30">
        <v>30.4</v>
      </c>
      <c r="AT77" s="30"/>
      <c r="AU77" s="70">
        <v>36</v>
      </c>
      <c r="AV77" s="71">
        <v>33.75</v>
      </c>
      <c r="AW77" s="71"/>
      <c r="AX77" s="66">
        <v>48</v>
      </c>
      <c r="AY77" s="69">
        <v>46.35</v>
      </c>
      <c r="AZ77" s="69"/>
      <c r="BA77" s="70">
        <v>58</v>
      </c>
      <c r="BB77" s="71">
        <v>56.9</v>
      </c>
      <c r="BC77" s="71"/>
      <c r="BD77" s="102"/>
      <c r="BE77" s="66">
        <v>82</v>
      </c>
      <c r="BF77" s="69">
        <v>81.5</v>
      </c>
      <c r="BG77" s="69"/>
      <c r="BH77" s="102"/>
    </row>
    <row r="78" spans="1:60" ht="12" customHeight="1">
      <c r="A78" s="72"/>
      <c r="B78" s="127" t="s">
        <v>20</v>
      </c>
      <c r="C78" s="127"/>
      <c r="D78" s="127"/>
      <c r="E78" s="39">
        <v>53</v>
      </c>
      <c r="F78" s="39">
        <v>22.28</v>
      </c>
      <c r="G78" s="39"/>
      <c r="H78" s="39">
        <v>53</v>
      </c>
      <c r="I78" s="39">
        <v>25.37</v>
      </c>
      <c r="J78" s="39"/>
      <c r="K78" s="39">
        <v>60</v>
      </c>
      <c r="L78" s="39">
        <v>30.13</v>
      </c>
      <c r="M78" s="39"/>
      <c r="N78" s="39">
        <v>69</v>
      </c>
      <c r="O78" s="39">
        <v>33.43</v>
      </c>
      <c r="P78" s="39"/>
      <c r="Q78" s="39">
        <v>66</v>
      </c>
      <c r="R78" s="33">
        <v>31.69</v>
      </c>
      <c r="S78" s="39"/>
      <c r="T78" s="39">
        <v>54</v>
      </c>
      <c r="U78" s="33">
        <v>25.06</v>
      </c>
      <c r="V78" s="39"/>
      <c r="W78" s="39">
        <v>58</v>
      </c>
      <c r="X78" s="33">
        <v>29.34</v>
      </c>
      <c r="Y78" s="39"/>
      <c r="Z78" s="39">
        <v>60</v>
      </c>
      <c r="AA78" s="33">
        <v>30.32</v>
      </c>
      <c r="AB78" s="39"/>
      <c r="AC78" s="39">
        <v>56</v>
      </c>
      <c r="AD78" s="33">
        <v>27</v>
      </c>
      <c r="AE78" s="39"/>
      <c r="AF78" s="39">
        <v>60</v>
      </c>
      <c r="AG78" s="33">
        <v>27</v>
      </c>
      <c r="AH78" s="39"/>
      <c r="AI78" s="39">
        <v>56</v>
      </c>
      <c r="AJ78" s="33">
        <v>26</v>
      </c>
      <c r="AK78" s="39"/>
      <c r="AL78" s="39">
        <v>49</v>
      </c>
      <c r="AM78" s="33">
        <v>23.84</v>
      </c>
      <c r="AN78" s="138"/>
      <c r="AO78" s="36">
        <v>57</v>
      </c>
      <c r="AP78" s="30">
        <v>28.25</v>
      </c>
      <c r="AQ78" s="30"/>
      <c r="AR78" s="36">
        <v>60</v>
      </c>
      <c r="AS78" s="30">
        <v>30</v>
      </c>
      <c r="AT78" s="30"/>
      <c r="AU78" s="70">
        <v>72</v>
      </c>
      <c r="AV78" s="71">
        <v>37.5</v>
      </c>
      <c r="AW78" s="71"/>
      <c r="AX78" s="66">
        <v>77</v>
      </c>
      <c r="AY78" s="69">
        <v>39.5</v>
      </c>
      <c r="AZ78" s="69"/>
      <c r="BA78" s="70">
        <v>66</v>
      </c>
      <c r="BB78" s="71">
        <v>32.75</v>
      </c>
      <c r="BC78" s="71"/>
      <c r="BD78" s="102"/>
      <c r="BE78" s="66">
        <v>83</v>
      </c>
      <c r="BF78" s="69">
        <v>40.5</v>
      </c>
      <c r="BG78" s="69"/>
      <c r="BH78" s="102"/>
    </row>
    <row r="79" spans="1:60" ht="12" customHeight="1">
      <c r="A79" s="1"/>
      <c r="B79" s="1"/>
      <c r="C79" s="1"/>
      <c r="D79" s="1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3"/>
      <c r="S79" s="39"/>
      <c r="T79" s="39"/>
      <c r="U79" s="33"/>
      <c r="V79" s="39"/>
      <c r="W79" s="39"/>
      <c r="X79" s="33"/>
      <c r="Y79" s="39"/>
      <c r="Z79" s="39"/>
      <c r="AA79" s="33"/>
      <c r="AB79" s="39"/>
      <c r="AC79" s="39"/>
      <c r="AD79" s="33"/>
      <c r="AE79" s="39"/>
      <c r="AF79" s="39"/>
      <c r="AG79" s="33"/>
      <c r="AH79" s="39"/>
      <c r="AI79" s="39"/>
      <c r="AJ79" s="33"/>
      <c r="AK79" s="39"/>
      <c r="AL79" s="39"/>
      <c r="AM79" s="33"/>
      <c r="AN79" s="138"/>
      <c r="AO79" s="36"/>
      <c r="AP79" s="30"/>
      <c r="AQ79" s="30"/>
      <c r="AR79" s="36"/>
      <c r="AS79" s="30"/>
      <c r="AT79" s="30"/>
      <c r="AU79" s="70"/>
      <c r="AV79" s="71"/>
      <c r="AW79" s="71"/>
      <c r="AX79" s="66"/>
      <c r="AY79" s="69"/>
      <c r="AZ79" s="69"/>
      <c r="BA79" s="70"/>
      <c r="BB79" s="71"/>
      <c r="BC79" s="71"/>
      <c r="BD79" s="102"/>
      <c r="BE79" s="66"/>
      <c r="BF79" s="69"/>
      <c r="BG79" s="69"/>
      <c r="BH79" s="102"/>
    </row>
    <row r="80" spans="1:60" s="11" customFormat="1" ht="12" customHeight="1">
      <c r="A80" s="145" t="s">
        <v>6</v>
      </c>
      <c r="B80" s="145"/>
      <c r="C80" s="145"/>
      <c r="D80" s="145"/>
      <c r="E80" s="50">
        <f t="shared" ref="E80:AM80" si="34">SUM(E81:E87)</f>
        <v>147</v>
      </c>
      <c r="F80" s="50">
        <f t="shared" si="34"/>
        <v>141.19999999999999</v>
      </c>
      <c r="G80" s="50">
        <f t="shared" si="34"/>
        <v>0</v>
      </c>
      <c r="H80" s="50">
        <f t="shared" si="34"/>
        <v>140</v>
      </c>
      <c r="I80" s="50">
        <f t="shared" si="34"/>
        <v>137.41</v>
      </c>
      <c r="J80" s="50">
        <f t="shared" si="34"/>
        <v>0</v>
      </c>
      <c r="K80" s="50">
        <f t="shared" si="34"/>
        <v>140</v>
      </c>
      <c r="L80" s="50">
        <f t="shared" si="34"/>
        <v>139.27000000000001</v>
      </c>
      <c r="M80" s="50">
        <f t="shared" si="34"/>
        <v>0</v>
      </c>
      <c r="N80" s="50">
        <f t="shared" si="34"/>
        <v>143</v>
      </c>
      <c r="O80" s="50">
        <f t="shared" si="34"/>
        <v>135.69999999999999</v>
      </c>
      <c r="P80" s="50">
        <f t="shared" si="34"/>
        <v>0</v>
      </c>
      <c r="Q80" s="50">
        <f t="shared" si="34"/>
        <v>142</v>
      </c>
      <c r="R80" s="51">
        <f t="shared" si="34"/>
        <v>135.04000000000002</v>
      </c>
      <c r="S80" s="50">
        <f t="shared" si="34"/>
        <v>0</v>
      </c>
      <c r="T80" s="50">
        <f t="shared" si="34"/>
        <v>141</v>
      </c>
      <c r="U80" s="51">
        <f t="shared" si="34"/>
        <v>134.56</v>
      </c>
      <c r="V80" s="50">
        <f t="shared" si="34"/>
        <v>0</v>
      </c>
      <c r="W80" s="50">
        <f t="shared" si="34"/>
        <v>144</v>
      </c>
      <c r="X80" s="51">
        <f t="shared" si="34"/>
        <v>135.25</v>
      </c>
      <c r="Y80" s="50">
        <f t="shared" si="34"/>
        <v>0</v>
      </c>
      <c r="Z80" s="50">
        <f t="shared" si="34"/>
        <v>139</v>
      </c>
      <c r="AA80" s="51">
        <f t="shared" si="34"/>
        <v>133.53</v>
      </c>
      <c r="AB80" s="50">
        <f t="shared" si="34"/>
        <v>0</v>
      </c>
      <c r="AC80" s="50">
        <f t="shared" si="34"/>
        <v>137</v>
      </c>
      <c r="AD80" s="51">
        <f t="shared" si="34"/>
        <v>130.9</v>
      </c>
      <c r="AE80" s="50">
        <f t="shared" si="34"/>
        <v>0</v>
      </c>
      <c r="AF80" s="50">
        <f t="shared" si="34"/>
        <v>128</v>
      </c>
      <c r="AG80" s="51">
        <f t="shared" si="34"/>
        <v>124</v>
      </c>
      <c r="AH80" s="50">
        <f t="shared" si="34"/>
        <v>0</v>
      </c>
      <c r="AI80" s="50">
        <f t="shared" si="34"/>
        <v>120</v>
      </c>
      <c r="AJ80" s="51">
        <f t="shared" si="34"/>
        <v>117</v>
      </c>
      <c r="AK80" s="50">
        <f t="shared" si="34"/>
        <v>0</v>
      </c>
      <c r="AL80" s="50">
        <f t="shared" si="34"/>
        <v>120</v>
      </c>
      <c r="AM80" s="51">
        <f t="shared" si="34"/>
        <v>116</v>
      </c>
      <c r="AN80" s="138"/>
      <c r="AO80" s="43">
        <f t="shared" ref="AO80:AP80" si="35">SUM(AO81:AO87)</f>
        <v>122</v>
      </c>
      <c r="AP80" s="29">
        <f t="shared" si="35"/>
        <v>118.55</v>
      </c>
      <c r="AQ80" s="29"/>
      <c r="AR80" s="43">
        <f t="shared" ref="AR80:AS80" si="36">SUM(AR81:AR87)</f>
        <v>117</v>
      </c>
      <c r="AS80" s="29">
        <f t="shared" si="36"/>
        <v>113.25</v>
      </c>
      <c r="AT80" s="29"/>
      <c r="AU80" s="85">
        <f t="shared" ref="AU80:AV80" si="37">SUM(AU81:AU87)</f>
        <v>117</v>
      </c>
      <c r="AV80" s="103">
        <f t="shared" si="37"/>
        <v>113.63</v>
      </c>
      <c r="AW80" s="103"/>
      <c r="AX80" s="87">
        <f t="shared" ref="AX80:AY80" si="38">SUM(AX81:AX87)</f>
        <v>108</v>
      </c>
      <c r="AY80" s="104">
        <f t="shared" si="38"/>
        <v>105.4</v>
      </c>
      <c r="AZ80" s="104"/>
      <c r="BA80" s="85">
        <f>SUM(BA81:BA87)</f>
        <v>116</v>
      </c>
      <c r="BB80" s="103">
        <f>SUM(BB81:BB87)</f>
        <v>113.07</v>
      </c>
      <c r="BC80" s="103"/>
      <c r="BD80" s="105"/>
      <c r="BE80" s="87">
        <f>SUM(BE81:BE87)</f>
        <v>114</v>
      </c>
      <c r="BF80" s="104">
        <f>SUM(BF81:BF87)</f>
        <v>110.49169999999999</v>
      </c>
      <c r="BG80" s="104"/>
      <c r="BH80" s="105"/>
    </row>
    <row r="81" spans="1:61" ht="12" customHeight="1">
      <c r="A81" s="65"/>
      <c r="B81" s="127" t="s">
        <v>17</v>
      </c>
      <c r="C81" s="127"/>
      <c r="D81" s="127"/>
      <c r="E81" s="39">
        <v>35</v>
      </c>
      <c r="F81" s="39">
        <v>35</v>
      </c>
      <c r="G81" s="39"/>
      <c r="H81" s="39">
        <v>34</v>
      </c>
      <c r="I81" s="39">
        <v>33.86</v>
      </c>
      <c r="J81" s="39"/>
      <c r="K81" s="39">
        <v>36</v>
      </c>
      <c r="L81" s="39">
        <v>36</v>
      </c>
      <c r="M81" s="39"/>
      <c r="N81" s="39">
        <v>40</v>
      </c>
      <c r="O81" s="39">
        <v>40</v>
      </c>
      <c r="P81" s="39"/>
      <c r="Q81" s="39">
        <v>39</v>
      </c>
      <c r="R81" s="33">
        <v>39</v>
      </c>
      <c r="S81" s="39"/>
      <c r="T81" s="39">
        <v>37</v>
      </c>
      <c r="U81" s="33">
        <v>37</v>
      </c>
      <c r="V81" s="39"/>
      <c r="W81" s="39">
        <v>35</v>
      </c>
      <c r="X81" s="33">
        <f>26.4+8</f>
        <v>34.4</v>
      </c>
      <c r="Y81" s="39"/>
      <c r="Z81" s="39">
        <f>25+7</f>
        <v>32</v>
      </c>
      <c r="AA81" s="33">
        <f>24.9+7</f>
        <v>31.9</v>
      </c>
      <c r="AB81" s="39"/>
      <c r="AC81" s="39">
        <v>33</v>
      </c>
      <c r="AD81" s="33">
        <v>33</v>
      </c>
      <c r="AE81" s="39"/>
      <c r="AF81" s="39">
        <v>31</v>
      </c>
      <c r="AG81" s="33">
        <v>31</v>
      </c>
      <c r="AH81" s="39"/>
      <c r="AI81" s="39">
        <v>30</v>
      </c>
      <c r="AJ81" s="33">
        <v>29</v>
      </c>
      <c r="AK81" s="39"/>
      <c r="AL81" s="39">
        <v>29</v>
      </c>
      <c r="AM81" s="33">
        <v>24</v>
      </c>
      <c r="AN81" s="138"/>
      <c r="AO81" s="36">
        <v>21</v>
      </c>
      <c r="AP81" s="30">
        <v>21</v>
      </c>
      <c r="AQ81" s="30"/>
      <c r="AR81" s="36">
        <v>17</v>
      </c>
      <c r="AS81" s="30">
        <v>16.600000000000001</v>
      </c>
      <c r="AT81" s="30"/>
      <c r="AU81" s="70">
        <v>16</v>
      </c>
      <c r="AV81" s="71">
        <v>15.6</v>
      </c>
      <c r="AW81" s="71"/>
      <c r="AX81" s="66">
        <v>14</v>
      </c>
      <c r="AY81" s="69">
        <v>13.6</v>
      </c>
      <c r="AZ81" s="69"/>
      <c r="BA81" s="70">
        <v>13</v>
      </c>
      <c r="BB81" s="71">
        <v>12.6</v>
      </c>
      <c r="BC81" s="71"/>
      <c r="BD81" s="102"/>
      <c r="BE81" s="66">
        <v>11</v>
      </c>
      <c r="BF81" s="69">
        <v>10.6</v>
      </c>
      <c r="BG81" s="69"/>
      <c r="BH81" s="102"/>
    </row>
    <row r="82" spans="1:61" ht="12" customHeight="1">
      <c r="A82" s="72"/>
      <c r="B82" s="127" t="s">
        <v>40</v>
      </c>
      <c r="C82" s="127"/>
      <c r="D82" s="127"/>
      <c r="E82" s="39">
        <v>1</v>
      </c>
      <c r="F82" s="39">
        <v>1</v>
      </c>
      <c r="G82" s="39"/>
      <c r="H82" s="39">
        <v>0</v>
      </c>
      <c r="I82" s="39">
        <v>0.14000000000000057</v>
      </c>
      <c r="J82" s="39"/>
      <c r="K82" s="39">
        <v>0</v>
      </c>
      <c r="L82" s="39">
        <v>0</v>
      </c>
      <c r="M82" s="39"/>
      <c r="N82" s="39">
        <v>0</v>
      </c>
      <c r="O82" s="39">
        <v>0</v>
      </c>
      <c r="P82" s="39"/>
      <c r="Q82" s="39">
        <v>0</v>
      </c>
      <c r="R82" s="33">
        <v>0</v>
      </c>
      <c r="S82" s="39"/>
      <c r="T82" s="39">
        <v>1</v>
      </c>
      <c r="U82" s="33">
        <v>1</v>
      </c>
      <c r="V82" s="39"/>
      <c r="W82" s="39">
        <v>1</v>
      </c>
      <c r="X82" s="33">
        <f>35.4-X81</f>
        <v>1</v>
      </c>
      <c r="Y82" s="39"/>
      <c r="Z82" s="39">
        <v>1</v>
      </c>
      <c r="AA82" s="33">
        <f>32.9-AA81</f>
        <v>1</v>
      </c>
      <c r="AB82" s="39"/>
      <c r="AC82" s="39">
        <v>0</v>
      </c>
      <c r="AD82" s="33">
        <f>32.9-AD81</f>
        <v>-0.10000000000000142</v>
      </c>
      <c r="AE82" s="39"/>
      <c r="AF82" s="39">
        <v>0</v>
      </c>
      <c r="AG82" s="33">
        <v>0</v>
      </c>
      <c r="AH82" s="39"/>
      <c r="AI82" s="39">
        <v>0</v>
      </c>
      <c r="AJ82" s="33">
        <v>0</v>
      </c>
      <c r="AK82" s="39"/>
      <c r="AL82" s="39">
        <v>0</v>
      </c>
      <c r="AM82" s="33">
        <v>4</v>
      </c>
      <c r="AN82" s="138"/>
      <c r="AO82" s="36">
        <v>1</v>
      </c>
      <c r="AP82" s="30">
        <v>1</v>
      </c>
      <c r="AQ82" s="30"/>
      <c r="AR82" s="36">
        <v>0</v>
      </c>
      <c r="AS82" s="30">
        <v>0</v>
      </c>
      <c r="AT82" s="30"/>
      <c r="AU82" s="70">
        <v>0</v>
      </c>
      <c r="AV82" s="71">
        <v>0</v>
      </c>
      <c r="AW82" s="71"/>
      <c r="AX82" s="66">
        <v>0</v>
      </c>
      <c r="AY82" s="69">
        <v>0</v>
      </c>
      <c r="AZ82" s="69"/>
      <c r="BA82" s="70">
        <v>0</v>
      </c>
      <c r="BB82" s="71">
        <v>0</v>
      </c>
      <c r="BC82" s="71"/>
      <c r="BD82" s="102"/>
      <c r="BE82" s="66">
        <v>0</v>
      </c>
      <c r="BF82" s="69">
        <v>0</v>
      </c>
      <c r="BG82" s="69"/>
      <c r="BH82" s="102"/>
    </row>
    <row r="83" spans="1:61" ht="12" customHeight="1">
      <c r="A83" s="65"/>
      <c r="B83" s="127" t="s">
        <v>18</v>
      </c>
      <c r="C83" s="127"/>
      <c r="D83" s="127"/>
      <c r="E83" s="39">
        <v>20</v>
      </c>
      <c r="F83" s="39">
        <v>20</v>
      </c>
      <c r="G83" s="39"/>
      <c r="H83" s="39">
        <v>20</v>
      </c>
      <c r="I83" s="39">
        <v>19.5</v>
      </c>
      <c r="J83" s="39"/>
      <c r="K83" s="39">
        <v>23</v>
      </c>
      <c r="L83" s="39">
        <v>22.79</v>
      </c>
      <c r="M83" s="39"/>
      <c r="N83" s="39">
        <v>22</v>
      </c>
      <c r="O83" s="39">
        <v>21.5</v>
      </c>
      <c r="P83" s="39"/>
      <c r="Q83" s="39">
        <v>22</v>
      </c>
      <c r="R83" s="33">
        <v>21.5</v>
      </c>
      <c r="S83" s="39"/>
      <c r="T83" s="39">
        <v>24</v>
      </c>
      <c r="U83" s="33">
        <v>23.58</v>
      </c>
      <c r="V83" s="39"/>
      <c r="W83" s="39">
        <v>26</v>
      </c>
      <c r="X83" s="33">
        <v>26</v>
      </c>
      <c r="Y83" s="39"/>
      <c r="Z83" s="39">
        <v>29</v>
      </c>
      <c r="AA83" s="33">
        <v>29</v>
      </c>
      <c r="AB83" s="39"/>
      <c r="AC83" s="39">
        <v>28</v>
      </c>
      <c r="AD83" s="33">
        <v>28</v>
      </c>
      <c r="AE83" s="39"/>
      <c r="AF83" s="39">
        <v>27</v>
      </c>
      <c r="AG83" s="33">
        <v>27</v>
      </c>
      <c r="AH83" s="39"/>
      <c r="AI83" s="39">
        <v>26</v>
      </c>
      <c r="AJ83" s="33">
        <v>26</v>
      </c>
      <c r="AK83" s="39"/>
      <c r="AL83" s="39">
        <v>29</v>
      </c>
      <c r="AM83" s="33">
        <v>29</v>
      </c>
      <c r="AN83" s="138"/>
      <c r="AO83" s="36">
        <v>39</v>
      </c>
      <c r="AP83" s="30">
        <v>38.25</v>
      </c>
      <c r="AQ83" s="30"/>
      <c r="AR83" s="36">
        <v>43</v>
      </c>
      <c r="AS83" s="30">
        <v>42.35</v>
      </c>
      <c r="AT83" s="30"/>
      <c r="AU83" s="70">
        <v>47</v>
      </c>
      <c r="AV83" s="71">
        <v>46.35</v>
      </c>
      <c r="AW83" s="71"/>
      <c r="AX83" s="66">
        <v>45</v>
      </c>
      <c r="AY83" s="69">
        <v>44.75</v>
      </c>
      <c r="AZ83" s="69"/>
      <c r="BA83" s="70">
        <v>61</v>
      </c>
      <c r="BB83" s="71">
        <v>60.75</v>
      </c>
      <c r="BC83" s="71"/>
      <c r="BD83" s="102"/>
      <c r="BE83" s="66">
        <v>61</v>
      </c>
      <c r="BF83" s="69">
        <v>60.5</v>
      </c>
      <c r="BG83" s="69"/>
      <c r="BH83" s="102"/>
    </row>
    <row r="84" spans="1:61" ht="12" customHeight="1">
      <c r="A84" s="72"/>
      <c r="B84" s="127" t="s">
        <v>19</v>
      </c>
      <c r="C84" s="127"/>
      <c r="D84" s="127"/>
      <c r="E84" s="39">
        <v>0</v>
      </c>
      <c r="F84" s="39">
        <v>0</v>
      </c>
      <c r="G84" s="39"/>
      <c r="H84" s="39">
        <v>0</v>
      </c>
      <c r="I84" s="39">
        <v>0</v>
      </c>
      <c r="J84" s="39"/>
      <c r="K84" s="39">
        <v>0</v>
      </c>
      <c r="L84" s="39">
        <v>0</v>
      </c>
      <c r="M84" s="39"/>
      <c r="N84" s="39">
        <v>0</v>
      </c>
      <c r="O84" s="39">
        <v>0</v>
      </c>
      <c r="P84" s="39"/>
      <c r="Q84" s="39">
        <v>0</v>
      </c>
      <c r="R84" s="33">
        <v>0</v>
      </c>
      <c r="S84" s="39"/>
      <c r="T84" s="39">
        <v>0</v>
      </c>
      <c r="U84" s="33">
        <v>0</v>
      </c>
      <c r="V84" s="39"/>
      <c r="W84" s="39">
        <v>0</v>
      </c>
      <c r="X84" s="33">
        <v>0</v>
      </c>
      <c r="Y84" s="39"/>
      <c r="Z84" s="39">
        <v>0</v>
      </c>
      <c r="AA84" s="33">
        <v>0</v>
      </c>
      <c r="AB84" s="39"/>
      <c r="AC84" s="39">
        <v>0</v>
      </c>
      <c r="AD84" s="33">
        <v>0</v>
      </c>
      <c r="AE84" s="39"/>
      <c r="AF84" s="39">
        <v>0</v>
      </c>
      <c r="AG84" s="33">
        <v>0</v>
      </c>
      <c r="AH84" s="39"/>
      <c r="AI84" s="39">
        <v>0</v>
      </c>
      <c r="AJ84" s="33">
        <v>0</v>
      </c>
      <c r="AK84" s="39"/>
      <c r="AL84" s="39">
        <v>0</v>
      </c>
      <c r="AM84" s="33">
        <v>0</v>
      </c>
      <c r="AN84" s="138"/>
      <c r="AO84" s="36">
        <v>0</v>
      </c>
      <c r="AP84" s="30">
        <v>0</v>
      </c>
      <c r="AQ84" s="30"/>
      <c r="AR84" s="36">
        <v>1</v>
      </c>
      <c r="AS84" s="30">
        <v>1</v>
      </c>
      <c r="AT84" s="30"/>
      <c r="AU84" s="70">
        <v>0</v>
      </c>
      <c r="AV84" s="71">
        <v>0</v>
      </c>
      <c r="AW84" s="71"/>
      <c r="AX84" s="66">
        <v>0</v>
      </c>
      <c r="AY84" s="69">
        <v>0</v>
      </c>
      <c r="AZ84" s="69"/>
      <c r="BA84" s="70">
        <v>0</v>
      </c>
      <c r="BB84" s="71">
        <v>0</v>
      </c>
      <c r="BC84" s="71"/>
      <c r="BD84" s="102"/>
      <c r="BE84" s="66">
        <v>0</v>
      </c>
      <c r="BF84" s="69">
        <v>0</v>
      </c>
      <c r="BG84" s="69"/>
      <c r="BH84" s="102"/>
    </row>
    <row r="85" spans="1:61" ht="12" customHeight="1">
      <c r="A85" s="72"/>
      <c r="B85" s="127" t="s">
        <v>15</v>
      </c>
      <c r="C85" s="127"/>
      <c r="D85" s="127"/>
      <c r="E85" s="39">
        <v>88</v>
      </c>
      <c r="F85" s="39">
        <v>83.08</v>
      </c>
      <c r="G85" s="39"/>
      <c r="H85" s="39">
        <v>86</v>
      </c>
      <c r="I85" s="39">
        <v>81.47</v>
      </c>
      <c r="J85" s="39"/>
      <c r="K85" s="39">
        <v>81</v>
      </c>
      <c r="L85" s="39">
        <v>77.39</v>
      </c>
      <c r="M85" s="39"/>
      <c r="N85" s="39">
        <v>78</v>
      </c>
      <c r="O85" s="39">
        <v>72.94</v>
      </c>
      <c r="P85" s="39"/>
      <c r="Q85" s="39">
        <v>79</v>
      </c>
      <c r="R85" s="33">
        <v>73.540000000000006</v>
      </c>
      <c r="S85" s="39"/>
      <c r="T85" s="39">
        <v>76</v>
      </c>
      <c r="U85" s="33">
        <v>71.92</v>
      </c>
      <c r="V85" s="39"/>
      <c r="W85" s="39">
        <v>75</v>
      </c>
      <c r="X85" s="33">
        <v>71.42</v>
      </c>
      <c r="Y85" s="39"/>
      <c r="Z85" s="39">
        <v>74</v>
      </c>
      <c r="AA85" s="33">
        <v>69.680000000000007</v>
      </c>
      <c r="AB85" s="39"/>
      <c r="AC85" s="39">
        <v>73</v>
      </c>
      <c r="AD85" s="33">
        <v>69</v>
      </c>
      <c r="AE85" s="39"/>
      <c r="AF85" s="39">
        <v>70</v>
      </c>
      <c r="AG85" s="33">
        <v>66</v>
      </c>
      <c r="AH85" s="39"/>
      <c r="AI85" s="39">
        <v>64</v>
      </c>
      <c r="AJ85" s="33">
        <v>62</v>
      </c>
      <c r="AK85" s="39"/>
      <c r="AL85" s="39">
        <v>62</v>
      </c>
      <c r="AM85" s="33">
        <v>59</v>
      </c>
      <c r="AN85" s="138"/>
      <c r="AO85" s="36">
        <v>61</v>
      </c>
      <c r="AP85" s="30">
        <v>58.3</v>
      </c>
      <c r="AQ85" s="30"/>
      <c r="AR85" s="36">
        <v>56</v>
      </c>
      <c r="AS85" s="30">
        <v>53.3</v>
      </c>
      <c r="AT85" s="30"/>
      <c r="AU85" s="70">
        <v>54</v>
      </c>
      <c r="AV85" s="71">
        <v>51.68</v>
      </c>
      <c r="AW85" s="71"/>
      <c r="AX85" s="66">
        <v>49</v>
      </c>
      <c r="AY85" s="69">
        <v>47.05</v>
      </c>
      <c r="AZ85" s="69"/>
      <c r="BA85" s="70">
        <v>42</v>
      </c>
      <c r="BB85" s="71">
        <v>39.72</v>
      </c>
      <c r="BC85" s="71"/>
      <c r="BD85" s="102"/>
      <c r="BE85" s="66">
        <v>42</v>
      </c>
      <c r="BF85" s="69">
        <v>39.3917</v>
      </c>
      <c r="BG85" s="69"/>
      <c r="BH85" s="102"/>
    </row>
    <row r="86" spans="1:61" ht="12" customHeight="1">
      <c r="A86" s="72"/>
      <c r="B86" s="127" t="s">
        <v>21</v>
      </c>
      <c r="C86" s="127"/>
      <c r="D86" s="127"/>
      <c r="E86" s="39">
        <v>0</v>
      </c>
      <c r="F86" s="39">
        <v>0</v>
      </c>
      <c r="G86" s="39"/>
      <c r="H86" s="39">
        <v>0</v>
      </c>
      <c r="I86" s="39">
        <v>0</v>
      </c>
      <c r="J86" s="39"/>
      <c r="K86" s="39">
        <v>0</v>
      </c>
      <c r="L86" s="39">
        <v>0</v>
      </c>
      <c r="M86" s="39"/>
      <c r="N86" s="39">
        <v>0</v>
      </c>
      <c r="O86" s="39">
        <v>0</v>
      </c>
      <c r="P86" s="39"/>
      <c r="Q86" s="39">
        <v>0</v>
      </c>
      <c r="R86" s="33">
        <v>0</v>
      </c>
      <c r="S86" s="39"/>
      <c r="T86" s="39">
        <v>0</v>
      </c>
      <c r="U86" s="33">
        <v>0</v>
      </c>
      <c r="V86" s="39"/>
      <c r="W86" s="39">
        <v>0</v>
      </c>
      <c r="X86" s="33">
        <v>0</v>
      </c>
      <c r="Y86" s="39"/>
      <c r="Z86" s="39">
        <v>0</v>
      </c>
      <c r="AA86" s="33">
        <v>0</v>
      </c>
      <c r="AB86" s="39"/>
      <c r="AC86" s="39">
        <v>0</v>
      </c>
      <c r="AD86" s="33">
        <v>0</v>
      </c>
      <c r="AE86" s="39"/>
      <c r="AF86" s="39">
        <v>0</v>
      </c>
      <c r="AG86" s="33">
        <v>0</v>
      </c>
      <c r="AH86" s="39"/>
      <c r="AI86" s="39">
        <v>0</v>
      </c>
      <c r="AJ86" s="33">
        <v>0</v>
      </c>
      <c r="AK86" s="39"/>
      <c r="AL86" s="39">
        <v>0</v>
      </c>
      <c r="AM86" s="33">
        <v>0</v>
      </c>
      <c r="AN86" s="138"/>
      <c r="AO86" s="36">
        <v>0</v>
      </c>
      <c r="AP86" s="30">
        <v>0</v>
      </c>
      <c r="AQ86" s="30"/>
      <c r="AR86" s="36">
        <v>0</v>
      </c>
      <c r="AS86" s="30">
        <v>0</v>
      </c>
      <c r="AT86" s="30"/>
      <c r="AU86" s="70">
        <v>0</v>
      </c>
      <c r="AV86" s="71">
        <v>0</v>
      </c>
      <c r="AW86" s="71"/>
      <c r="AX86" s="66">
        <v>0</v>
      </c>
      <c r="AY86" s="69">
        <v>0</v>
      </c>
      <c r="AZ86" s="69"/>
      <c r="BA86" s="70">
        <v>0</v>
      </c>
      <c r="BB86" s="71">
        <v>0</v>
      </c>
      <c r="BC86" s="71"/>
      <c r="BD86" s="102"/>
      <c r="BE86" s="66">
        <v>0</v>
      </c>
      <c r="BF86" s="69">
        <v>0</v>
      </c>
      <c r="BG86" s="69"/>
      <c r="BH86" s="102"/>
    </row>
    <row r="87" spans="1:61" ht="12" customHeight="1">
      <c r="A87" s="72"/>
      <c r="B87" s="127" t="s">
        <v>20</v>
      </c>
      <c r="C87" s="127"/>
      <c r="D87" s="127"/>
      <c r="E87" s="39">
        <v>3</v>
      </c>
      <c r="F87" s="39">
        <v>2.12</v>
      </c>
      <c r="G87" s="39"/>
      <c r="H87" s="39">
        <v>0</v>
      </c>
      <c r="I87" s="39">
        <v>2.44</v>
      </c>
      <c r="J87" s="39"/>
      <c r="K87" s="39">
        <v>0</v>
      </c>
      <c r="L87" s="39">
        <v>3.09</v>
      </c>
      <c r="M87" s="39"/>
      <c r="N87" s="39">
        <v>3</v>
      </c>
      <c r="O87" s="39">
        <v>1.26</v>
      </c>
      <c r="P87" s="39"/>
      <c r="Q87" s="39">
        <v>2</v>
      </c>
      <c r="R87" s="33">
        <v>1</v>
      </c>
      <c r="S87" s="39"/>
      <c r="T87" s="39">
        <v>3</v>
      </c>
      <c r="U87" s="33">
        <v>1.06</v>
      </c>
      <c r="V87" s="39"/>
      <c r="W87" s="39">
        <v>7</v>
      </c>
      <c r="X87" s="33">
        <v>2.4300000000000002</v>
      </c>
      <c r="Y87" s="39"/>
      <c r="Z87" s="39">
        <v>3</v>
      </c>
      <c r="AA87" s="33">
        <v>1.95</v>
      </c>
      <c r="AB87" s="39"/>
      <c r="AC87" s="39">
        <v>3</v>
      </c>
      <c r="AD87" s="33">
        <v>1</v>
      </c>
      <c r="AE87" s="39"/>
      <c r="AF87" s="39">
        <v>0</v>
      </c>
      <c r="AG87" s="33">
        <v>0</v>
      </c>
      <c r="AH87" s="39"/>
      <c r="AI87" s="39">
        <v>0</v>
      </c>
      <c r="AJ87" s="33">
        <v>0</v>
      </c>
      <c r="AK87" s="39"/>
      <c r="AL87" s="39">
        <v>0</v>
      </c>
      <c r="AM87" s="33">
        <v>0</v>
      </c>
      <c r="AN87" s="138"/>
      <c r="AO87" s="36">
        <v>0</v>
      </c>
      <c r="AP87" s="30">
        <v>0</v>
      </c>
      <c r="AQ87" s="30"/>
      <c r="AR87" s="36">
        <v>0</v>
      </c>
      <c r="AS87" s="30">
        <v>0</v>
      </c>
      <c r="AT87" s="30"/>
      <c r="AU87" s="70">
        <v>0</v>
      </c>
      <c r="AV87" s="71">
        <v>0</v>
      </c>
      <c r="AW87" s="71"/>
      <c r="AX87" s="66">
        <v>0</v>
      </c>
      <c r="AY87" s="69">
        <v>0</v>
      </c>
      <c r="AZ87" s="69"/>
      <c r="BA87" s="70">
        <v>0</v>
      </c>
      <c r="BB87" s="71">
        <v>0</v>
      </c>
      <c r="BC87" s="71"/>
      <c r="BD87" s="102"/>
      <c r="BE87" s="66">
        <v>0</v>
      </c>
      <c r="BF87" s="69">
        <v>0</v>
      </c>
      <c r="BG87" s="69"/>
      <c r="BH87" s="102"/>
    </row>
    <row r="88" spans="1:61" ht="5.25" customHeight="1">
      <c r="A88" s="54"/>
      <c r="B88" s="54"/>
      <c r="C88" s="54"/>
      <c r="D88" s="54"/>
      <c r="AN88" s="138"/>
      <c r="AO88" s="40"/>
      <c r="AP88" s="41"/>
      <c r="AQ88" s="41"/>
      <c r="AR88" s="55"/>
      <c r="AS88" s="56"/>
      <c r="AT88" s="56"/>
      <c r="AU88" s="106"/>
      <c r="AV88" s="107"/>
      <c r="AW88" s="107"/>
      <c r="AX88" s="108"/>
      <c r="AY88" s="109"/>
      <c r="AZ88" s="109"/>
      <c r="BA88" s="106"/>
      <c r="BB88" s="107"/>
      <c r="BC88" s="107"/>
      <c r="BD88" s="110"/>
      <c r="BE88" s="108"/>
      <c r="BF88" s="109"/>
      <c r="BG88" s="109"/>
      <c r="BH88" s="110"/>
    </row>
    <row r="89" spans="1:61" s="11" customFormat="1" ht="17.25" customHeight="1">
      <c r="A89" s="146" t="s">
        <v>46</v>
      </c>
      <c r="B89" s="146"/>
      <c r="C89" s="146"/>
      <c r="D89" s="146"/>
      <c r="E89" s="50" t="e">
        <f t="shared" ref="E89:Q89" si="39">SUM(E90:E96)</f>
        <v>#REF!</v>
      </c>
      <c r="F89" s="50" t="e">
        <f t="shared" si="39"/>
        <v>#REF!</v>
      </c>
      <c r="G89" s="50" t="e">
        <f t="shared" si="39"/>
        <v>#REF!</v>
      </c>
      <c r="H89" s="50" t="e">
        <f t="shared" si="39"/>
        <v>#REF!</v>
      </c>
      <c r="I89" s="50" t="e">
        <f t="shared" si="39"/>
        <v>#REF!</v>
      </c>
      <c r="J89" s="50" t="e">
        <f t="shared" si="39"/>
        <v>#REF!</v>
      </c>
      <c r="K89" s="50" t="e">
        <f t="shared" si="39"/>
        <v>#REF!</v>
      </c>
      <c r="L89" s="50" t="e">
        <f t="shared" si="39"/>
        <v>#REF!</v>
      </c>
      <c r="M89" s="50" t="e">
        <f t="shared" si="39"/>
        <v>#REF!</v>
      </c>
      <c r="N89" s="50" t="e">
        <f t="shared" si="39"/>
        <v>#REF!</v>
      </c>
      <c r="O89" s="50" t="e">
        <f t="shared" si="39"/>
        <v>#REF!</v>
      </c>
      <c r="P89" s="50" t="e">
        <f t="shared" si="39"/>
        <v>#REF!</v>
      </c>
      <c r="Q89" s="50">
        <f t="shared" si="39"/>
        <v>5059</v>
      </c>
      <c r="R89" s="50">
        <f t="shared" ref="R89:X89" si="40">SUM(R90:R96)</f>
        <v>3821.01</v>
      </c>
      <c r="S89" s="50"/>
      <c r="T89" s="50">
        <f t="shared" si="40"/>
        <v>4996</v>
      </c>
      <c r="U89" s="50">
        <f t="shared" si="40"/>
        <v>3774.37</v>
      </c>
      <c r="V89" s="50"/>
      <c r="W89" s="50">
        <f t="shared" si="40"/>
        <v>5067</v>
      </c>
      <c r="X89" s="50">
        <f t="shared" si="40"/>
        <v>3831.54</v>
      </c>
      <c r="Y89" s="50"/>
      <c r="Z89" s="50">
        <f>SUM(Z90:Z96)</f>
        <v>5170</v>
      </c>
      <c r="AA89" s="50">
        <f>SUM(AA90:AA96)</f>
        <v>3923.0499999999997</v>
      </c>
      <c r="AB89" s="50"/>
      <c r="AC89" s="50">
        <f>SUM(AC90:AC96)</f>
        <v>5305</v>
      </c>
      <c r="AD89" s="50">
        <f>SUM(AD90:AD96)</f>
        <v>3994.42</v>
      </c>
      <c r="AE89" s="50"/>
      <c r="AF89" s="50">
        <f>SUM(AF90:AF96)</f>
        <v>5236</v>
      </c>
      <c r="AG89" s="50">
        <f>SUM(AG90:AG96)</f>
        <v>3860.96</v>
      </c>
      <c r="AH89" s="50"/>
      <c r="AI89" s="50">
        <f>SUM(AI90:AI96)</f>
        <v>5400</v>
      </c>
      <c r="AJ89" s="50">
        <f>SUM(AJ90:AJ96)</f>
        <v>3909.33</v>
      </c>
      <c r="AK89" s="50"/>
      <c r="AL89" s="50">
        <f>SUM(AL90:AL96)</f>
        <v>5535</v>
      </c>
      <c r="AM89" s="50">
        <f>SUM(AM90:AM96)</f>
        <v>4028.55</v>
      </c>
      <c r="AN89" s="138"/>
      <c r="AO89" s="43">
        <f t="shared" ref="AO89:AP89" si="41">SUM(AO90:AO96)</f>
        <v>5927</v>
      </c>
      <c r="AP89" s="31">
        <f t="shared" si="41"/>
        <v>4456.53</v>
      </c>
      <c r="AQ89" s="31"/>
      <c r="AR89" s="50">
        <f t="shared" ref="AR89:AS89" si="42">SUM(AR90:AR96)</f>
        <v>6182</v>
      </c>
      <c r="AS89" s="57">
        <f t="shared" si="42"/>
        <v>4597.8599999999997</v>
      </c>
      <c r="AT89" s="57"/>
      <c r="AU89" s="80">
        <f t="shared" ref="AU89:AV89" si="43">SUM(AU90:AU96)</f>
        <v>6448</v>
      </c>
      <c r="AV89" s="98">
        <f t="shared" si="43"/>
        <v>4838.32</v>
      </c>
      <c r="AW89" s="98"/>
      <c r="AX89" s="82">
        <f t="shared" ref="AX89:AY89" si="44">SUM(AX90:AX96)</f>
        <v>6517</v>
      </c>
      <c r="AY89" s="99">
        <f t="shared" si="44"/>
        <v>4912.03</v>
      </c>
      <c r="AZ89" s="99"/>
      <c r="BA89" s="80">
        <f>SUM(BA90:BA96)</f>
        <v>6670</v>
      </c>
      <c r="BB89" s="98">
        <f>SUM(BB90:BB96)</f>
        <v>5000.1200000000008</v>
      </c>
      <c r="BC89" s="98"/>
      <c r="BD89" s="105"/>
      <c r="BE89" s="82">
        <f t="shared" ref="BE89:BF96" si="45">BE80+BE71+BE53+BE44+BE35+BE26+BE17+BE8</f>
        <v>6526</v>
      </c>
      <c r="BF89" s="99">
        <f t="shared" si="45"/>
        <v>4923.7390999999998</v>
      </c>
      <c r="BG89" s="99"/>
      <c r="BH89" s="105"/>
    </row>
    <row r="90" spans="1:61" ht="12" customHeight="1">
      <c r="A90" s="65"/>
      <c r="B90" s="127" t="s">
        <v>17</v>
      </c>
      <c r="C90" s="127"/>
      <c r="D90" s="127"/>
      <c r="E90" s="39" t="e">
        <f>E81+#REF!+E55+E46+#REF!+E28+E19+E1+#REF!+#REF!</f>
        <v>#REF!</v>
      </c>
      <c r="F90" s="39" t="e">
        <f>F81+#REF!+F55+F46+#REF!+F28+F19+F1+#REF!+#REF!</f>
        <v>#REF!</v>
      </c>
      <c r="G90" s="39" t="e">
        <f>G81+#REF!+G55+G46+#REF!+G28+G19+G1+#REF!+#REF!</f>
        <v>#REF!</v>
      </c>
      <c r="H90" s="39" t="e">
        <f>H81+#REF!+H55+H46+#REF!+H28+H19+H1+#REF!+#REF!</f>
        <v>#REF!</v>
      </c>
      <c r="I90" s="39" t="e">
        <f>I81+#REF!+I55+I46+#REF!+I28+I19+I1+#REF!+#REF!</f>
        <v>#REF!</v>
      </c>
      <c r="J90" s="39" t="e">
        <f>J81+#REF!+J55+J46+#REF!+J28+J19+J1+#REF!+#REF!</f>
        <v>#REF!</v>
      </c>
      <c r="K90" s="39" t="e">
        <f>K81+#REF!+K55+K46+#REF!+K28+K19+K1+#REF!+#REF!</f>
        <v>#REF!</v>
      </c>
      <c r="L90" s="39" t="e">
        <f>L81+#REF!+L55+L46+#REF!+L28+L19+L1+#REF!+#REF!</f>
        <v>#REF!</v>
      </c>
      <c r="M90" s="39" t="e">
        <f>M81+#REF!+M55+M46+#REF!+M28+M19+M1+#REF!+#REF!</f>
        <v>#REF!</v>
      </c>
      <c r="N90" s="39" t="e">
        <f>N81+#REF!+N55+N46+#REF!+N28+N19+N1+#REF!+#REF!</f>
        <v>#REF!</v>
      </c>
      <c r="O90" s="39" t="e">
        <f>O81+#REF!+O55+O46+#REF!+O28+O19+O1+#REF!+#REF!</f>
        <v>#REF!</v>
      </c>
      <c r="P90" s="39" t="e">
        <f>P81+#REF!+P55+P46+#REF!+P28+P19+P1+#REF!+#REF!</f>
        <v>#REF!</v>
      </c>
      <c r="Q90" s="39">
        <f t="shared" ref="Q90:R96" si="46">Q81+Q72+Q54+Q45+Q36+Q27+Q18+Q9</f>
        <v>1358</v>
      </c>
      <c r="R90" s="33">
        <f t="shared" si="46"/>
        <v>1241.47</v>
      </c>
      <c r="S90" s="39"/>
      <c r="T90" s="39">
        <f t="shared" ref="T90:U96" si="47">T81+T72+T54+T45+T36+T27+T18+T9</f>
        <v>1313</v>
      </c>
      <c r="U90" s="33">
        <f t="shared" si="47"/>
        <v>1207.53</v>
      </c>
      <c r="V90" s="39"/>
      <c r="W90" s="39">
        <f t="shared" ref="W90:X96" si="48">W81+W72+W54+W45+W36+W27+W18+W9</f>
        <v>1292</v>
      </c>
      <c r="X90" s="33">
        <f t="shared" si="48"/>
        <v>1186.6100000000001</v>
      </c>
      <c r="Y90" s="39"/>
      <c r="Z90" s="39">
        <f t="shared" ref="Z90:AA96" si="49">Z81+Z72+Z54+Z45+Z36+Z27+Z18+Z9</f>
        <v>1314</v>
      </c>
      <c r="AA90" s="33">
        <f t="shared" si="49"/>
        <v>1225.71</v>
      </c>
      <c r="AB90" s="39"/>
      <c r="AC90" s="39">
        <f t="shared" ref="AC90:AD96" si="50">AC81+AC72+AC54+AC45+AC36+AC27+AC18+AC9</f>
        <v>1346</v>
      </c>
      <c r="AD90" s="33">
        <f t="shared" si="50"/>
        <v>1241</v>
      </c>
      <c r="AE90" s="39"/>
      <c r="AF90" s="39">
        <f t="shared" ref="AF90:AG96" si="51">AF81+AF72+AF54+AF45+AF36+AF27+AF18+AF9</f>
        <v>1308</v>
      </c>
      <c r="AG90" s="33">
        <f t="shared" si="51"/>
        <v>1198</v>
      </c>
      <c r="AH90" s="39"/>
      <c r="AI90" s="39">
        <f t="shared" ref="AI90:AJ96" si="52">AI81+AI72+AI54+AI45+AI36+AI27+AI18+AI9</f>
        <v>1293</v>
      </c>
      <c r="AJ90" s="33">
        <f t="shared" si="52"/>
        <v>1188</v>
      </c>
      <c r="AK90" s="39"/>
      <c r="AL90" s="39">
        <f t="shared" ref="AL90:AM96" si="53">AL81+AL72+AL54+AL45+AL36+AL27+AL18+AL9</f>
        <v>1331</v>
      </c>
      <c r="AM90" s="33">
        <f t="shared" si="53"/>
        <v>1207.0700000000002</v>
      </c>
      <c r="AN90" s="138"/>
      <c r="AO90" s="36">
        <f t="shared" ref="AO90:AP96" si="54">AO81+AO72+AO54+AO45+AO36+AO27+AO18+AO9</f>
        <v>1276</v>
      </c>
      <c r="AP90" s="30">
        <f t="shared" si="54"/>
        <v>1254.72</v>
      </c>
      <c r="AQ90" s="30"/>
      <c r="AR90" s="36">
        <f t="shared" ref="AR90:AS96" si="55">AR81+AR72+AR54+AR45+AR36+AR27+AR18+AR9</f>
        <v>1305</v>
      </c>
      <c r="AS90" s="30">
        <f t="shared" si="55"/>
        <v>1272.24</v>
      </c>
      <c r="AT90" s="30"/>
      <c r="AU90" s="70">
        <f t="shared" ref="AU90:AV96" si="56">AU81+AU72+AU54+AU45+AU36+AU27+AU18+AU9</f>
        <v>1364</v>
      </c>
      <c r="AV90" s="71">
        <f t="shared" si="56"/>
        <v>1346.1200000000001</v>
      </c>
      <c r="AW90" s="71"/>
      <c r="AX90" s="66">
        <f t="shared" ref="AX90:AY96" si="57">AX81+AX72+AX54+AX45+AX36+AX27+AX18+AX9</f>
        <v>1347</v>
      </c>
      <c r="AY90" s="69">
        <f t="shared" si="57"/>
        <v>1327.1399999999999</v>
      </c>
      <c r="AZ90" s="69"/>
      <c r="BA90" s="70">
        <f t="shared" ref="BA90:BB96" si="58">BA81+BA72+BA54+BA45+BA36+BA27+BA18+BA9</f>
        <v>1362</v>
      </c>
      <c r="BB90" s="71">
        <f t="shared" si="58"/>
        <v>1340.47</v>
      </c>
      <c r="BC90" s="71"/>
      <c r="BD90" s="102"/>
      <c r="BE90" s="66">
        <f>BE81+BE72+BE54+BE45+BE36+BE27+BE18+BE9</f>
        <v>1355</v>
      </c>
      <c r="BF90" s="69">
        <f>BF81+BF72+BF54+BF45+BF36+BF27+BF18+BF9</f>
        <v>1332.7841000000001</v>
      </c>
      <c r="BG90" s="69"/>
      <c r="BH90" s="102"/>
      <c r="BI90" s="61"/>
    </row>
    <row r="91" spans="1:61" ht="12" customHeight="1">
      <c r="A91" s="72"/>
      <c r="B91" s="127" t="s">
        <v>40</v>
      </c>
      <c r="C91" s="127"/>
      <c r="D91" s="127"/>
      <c r="E91" s="39" t="e">
        <f>E82+#REF!+#REF!+#REF!+#REF!+#REF!+#REF!+E2+#REF!+#REF!</f>
        <v>#REF!</v>
      </c>
      <c r="F91" s="39" t="e">
        <f>F82+#REF!+#REF!+#REF!+#REF!+#REF!+#REF!+F2+#REF!+#REF!</f>
        <v>#REF!</v>
      </c>
      <c r="G91" s="39" t="e">
        <f>G82+#REF!+#REF!+#REF!+#REF!+#REF!+#REF!+G2+#REF!+#REF!</f>
        <v>#REF!</v>
      </c>
      <c r="H91" s="39" t="e">
        <f>H82+#REF!+#REF!+#REF!+#REF!+#REF!+#REF!+H2+#REF!+#REF!</f>
        <v>#REF!</v>
      </c>
      <c r="I91" s="39" t="e">
        <f>I82+#REF!+#REF!+#REF!+#REF!+#REF!+#REF!+I2+#REF!+#REF!</f>
        <v>#REF!</v>
      </c>
      <c r="J91" s="39" t="e">
        <f>J82+#REF!+#REF!+#REF!+#REF!+#REF!+#REF!+J2+#REF!+#REF!</f>
        <v>#REF!</v>
      </c>
      <c r="K91" s="39" t="e">
        <f>K82+#REF!+#REF!+#REF!+#REF!+#REF!+#REF!+K2+#REF!+#REF!</f>
        <v>#REF!</v>
      </c>
      <c r="L91" s="39" t="e">
        <f>L82+#REF!+#REF!+#REF!+#REF!+#REF!+#REF!+L2+#REF!+#REF!</f>
        <v>#REF!</v>
      </c>
      <c r="M91" s="39" t="e">
        <f>M82+#REF!+#REF!+#REF!+#REF!+#REF!+#REF!+M2+#REF!+#REF!</f>
        <v>#REF!</v>
      </c>
      <c r="N91" s="39" t="e">
        <f>N82+#REF!+#REF!+#REF!+#REF!+#REF!+#REF!+N2+#REF!+#REF!</f>
        <v>#REF!</v>
      </c>
      <c r="O91" s="39" t="e">
        <f>O82+#REF!+#REF!+#REF!+#REF!+#REF!+#REF!+O2+#REF!+#REF!</f>
        <v>#REF!</v>
      </c>
      <c r="P91" s="39" t="e">
        <f>P82+#REF!+#REF!+#REF!+#REF!+#REF!+#REF!+P2+#REF!+#REF!</f>
        <v>#REF!</v>
      </c>
      <c r="Q91" s="39">
        <f t="shared" si="46"/>
        <v>376</v>
      </c>
      <c r="R91" s="33">
        <f t="shared" si="46"/>
        <v>267.75000000000006</v>
      </c>
      <c r="S91" s="39"/>
      <c r="T91" s="39">
        <f t="shared" si="47"/>
        <v>396</v>
      </c>
      <c r="U91" s="33">
        <f t="shared" si="47"/>
        <v>285.14999999999998</v>
      </c>
      <c r="V91" s="39"/>
      <c r="W91" s="39">
        <f t="shared" si="48"/>
        <v>384</v>
      </c>
      <c r="X91" s="33">
        <f t="shared" si="48"/>
        <v>281.53000000000003</v>
      </c>
      <c r="Y91" s="39"/>
      <c r="Z91" s="39">
        <f t="shared" si="49"/>
        <v>409</v>
      </c>
      <c r="AA91" s="33">
        <f t="shared" si="49"/>
        <v>305.39</v>
      </c>
      <c r="AB91" s="39"/>
      <c r="AC91" s="39">
        <f t="shared" si="50"/>
        <v>400</v>
      </c>
      <c r="AD91" s="33">
        <f t="shared" si="50"/>
        <v>303.89999999999998</v>
      </c>
      <c r="AE91" s="39"/>
      <c r="AF91" s="39">
        <f t="shared" si="51"/>
        <v>432</v>
      </c>
      <c r="AG91" s="33">
        <f t="shared" si="51"/>
        <v>321</v>
      </c>
      <c r="AH91" s="39"/>
      <c r="AI91" s="39">
        <f t="shared" si="52"/>
        <v>473</v>
      </c>
      <c r="AJ91" s="33">
        <f t="shared" si="52"/>
        <v>357</v>
      </c>
      <c r="AK91" s="39"/>
      <c r="AL91" s="39">
        <f t="shared" si="53"/>
        <v>514</v>
      </c>
      <c r="AM91" s="33">
        <f t="shared" si="53"/>
        <v>389.76000000000005</v>
      </c>
      <c r="AN91" s="138"/>
      <c r="AO91" s="36">
        <f t="shared" si="54"/>
        <v>554</v>
      </c>
      <c r="AP91" s="36">
        <f t="shared" si="54"/>
        <v>433.55</v>
      </c>
      <c r="AQ91" s="42"/>
      <c r="AR91" s="36">
        <f t="shared" si="55"/>
        <v>567</v>
      </c>
      <c r="AS91" s="42">
        <f t="shared" si="55"/>
        <v>460.68000000000006</v>
      </c>
      <c r="AT91" s="42"/>
      <c r="AU91" s="70">
        <f t="shared" si="56"/>
        <v>581</v>
      </c>
      <c r="AV91" s="111">
        <f t="shared" si="56"/>
        <v>475.55000000000007</v>
      </c>
      <c r="AW91" s="111"/>
      <c r="AX91" s="66">
        <f t="shared" si="57"/>
        <v>594</v>
      </c>
      <c r="AY91" s="112">
        <f t="shared" si="57"/>
        <v>486.69</v>
      </c>
      <c r="AZ91" s="112"/>
      <c r="BA91" s="70">
        <f t="shared" si="58"/>
        <v>604</v>
      </c>
      <c r="BB91" s="111">
        <f t="shared" si="58"/>
        <v>494.43</v>
      </c>
      <c r="BC91" s="111"/>
      <c r="BD91" s="102"/>
      <c r="BE91" s="66">
        <f>BE82+BE73+BE55+BE46+BE37+BE28+BE19+BE10</f>
        <v>578</v>
      </c>
      <c r="BF91" s="112">
        <f>BF82+BF73+BF55+BF46+BF37+BF28+BF19+BF10</f>
        <v>472.36769999999996</v>
      </c>
      <c r="BG91" s="112"/>
      <c r="BH91" s="102"/>
      <c r="BI91" s="61"/>
    </row>
    <row r="92" spans="1:61" ht="12" customHeight="1">
      <c r="A92" s="65"/>
      <c r="B92" s="127" t="s">
        <v>18</v>
      </c>
      <c r="C92" s="127"/>
      <c r="D92" s="127"/>
      <c r="E92" s="39" t="e">
        <f>E83+#REF!+E57+E48+#REF!+E30+E21+E6+#REF!+#REF!</f>
        <v>#REF!</v>
      </c>
      <c r="F92" s="39" t="e">
        <f>F83+#REF!+F57+F48+#REF!+F30+F21+F6+#REF!+#REF!</f>
        <v>#REF!</v>
      </c>
      <c r="G92" s="39" t="e">
        <f>G83+#REF!+G57+G48+#REF!+G30+G21+G6+#REF!+#REF!</f>
        <v>#REF!</v>
      </c>
      <c r="H92" s="39" t="e">
        <f>H83+#REF!+H57+H48+#REF!+H30+H21+H6+#REF!+#REF!</f>
        <v>#REF!</v>
      </c>
      <c r="I92" s="39" t="e">
        <f>I83+#REF!+I57+I48+#REF!+I30+I21+I6+#REF!+#REF!</f>
        <v>#REF!</v>
      </c>
      <c r="J92" s="39" t="e">
        <f>J83+#REF!+J57+J48+#REF!+J30+J21+J6+#REF!+#REF!</f>
        <v>#REF!</v>
      </c>
      <c r="K92" s="39" t="e">
        <f>K83+#REF!+K57+K48+#REF!+K30+K21+K6+#REF!+#REF!</f>
        <v>#REF!</v>
      </c>
      <c r="L92" s="39" t="e">
        <f>L83+#REF!+L57+L48+#REF!+L30+L21+L6+#REF!+#REF!</f>
        <v>#REF!</v>
      </c>
      <c r="M92" s="39" t="e">
        <f>M83+#REF!+M57+M48+#REF!+M30+M21+M6+#REF!+#REF!</f>
        <v>#REF!</v>
      </c>
      <c r="N92" s="39" t="e">
        <f>N83+#REF!+N57+N48+#REF!+N30+N21+N6+#REF!+#REF!</f>
        <v>#REF!</v>
      </c>
      <c r="O92" s="39" t="e">
        <f>O83+#REF!+O57+O48+#REF!+O30+O21+O6+#REF!+#REF!</f>
        <v>#REF!</v>
      </c>
      <c r="P92" s="39" t="e">
        <f>P83+#REF!+P57+P48+#REF!+P30+P21+P6+#REF!+#REF!</f>
        <v>#REF!</v>
      </c>
      <c r="Q92" s="39">
        <f t="shared" si="46"/>
        <v>809</v>
      </c>
      <c r="R92" s="33">
        <f t="shared" si="46"/>
        <v>767.82</v>
      </c>
      <c r="S92" s="39"/>
      <c r="T92" s="39">
        <f t="shared" si="47"/>
        <v>833</v>
      </c>
      <c r="U92" s="33">
        <f t="shared" si="47"/>
        <v>780.58000000000015</v>
      </c>
      <c r="V92" s="39"/>
      <c r="W92" s="39">
        <f t="shared" si="48"/>
        <v>878</v>
      </c>
      <c r="X92" s="33">
        <f t="shared" si="48"/>
        <v>825.49</v>
      </c>
      <c r="Y92" s="39"/>
      <c r="Z92" s="39">
        <f t="shared" si="49"/>
        <v>916</v>
      </c>
      <c r="AA92" s="33">
        <f t="shared" si="49"/>
        <v>874.31</v>
      </c>
      <c r="AB92" s="39"/>
      <c r="AC92" s="39">
        <f t="shared" si="50"/>
        <v>1001</v>
      </c>
      <c r="AD92" s="33">
        <f t="shared" si="50"/>
        <v>942</v>
      </c>
      <c r="AE92" s="39"/>
      <c r="AF92" s="39">
        <f t="shared" si="51"/>
        <v>936</v>
      </c>
      <c r="AG92" s="33">
        <f t="shared" si="51"/>
        <v>870</v>
      </c>
      <c r="AH92" s="39"/>
      <c r="AI92" s="39">
        <f t="shared" si="52"/>
        <v>963</v>
      </c>
      <c r="AJ92" s="33">
        <f t="shared" si="52"/>
        <v>905</v>
      </c>
      <c r="AK92" s="39"/>
      <c r="AL92" s="39">
        <f t="shared" si="53"/>
        <v>1013</v>
      </c>
      <c r="AM92" s="33">
        <f t="shared" si="53"/>
        <v>966.82999999999993</v>
      </c>
      <c r="AN92" s="138"/>
      <c r="AO92" s="36">
        <f t="shared" si="54"/>
        <v>1063</v>
      </c>
      <c r="AP92" s="30">
        <f t="shared" si="54"/>
        <v>1025.01</v>
      </c>
      <c r="AQ92" s="30"/>
      <c r="AR92" s="36">
        <f t="shared" si="55"/>
        <v>1095</v>
      </c>
      <c r="AS92" s="30">
        <f t="shared" si="55"/>
        <v>1051.31</v>
      </c>
      <c r="AT92" s="30"/>
      <c r="AU92" s="70">
        <f t="shared" si="56"/>
        <v>1211</v>
      </c>
      <c r="AV92" s="71">
        <f t="shared" si="56"/>
        <v>1170.1200000000001</v>
      </c>
      <c r="AW92" s="71"/>
      <c r="AX92" s="66">
        <f t="shared" si="57"/>
        <v>1268</v>
      </c>
      <c r="AY92" s="69">
        <f t="shared" si="57"/>
        <v>1232.1199999999999</v>
      </c>
      <c r="AZ92" s="69"/>
      <c r="BA92" s="70">
        <f t="shared" si="58"/>
        <v>1318</v>
      </c>
      <c r="BB92" s="71">
        <f t="shared" si="58"/>
        <v>1276.78</v>
      </c>
      <c r="BC92" s="71"/>
      <c r="BD92" s="102"/>
      <c r="BE92" s="66">
        <f t="shared" si="45"/>
        <v>1311</v>
      </c>
      <c r="BF92" s="69">
        <f t="shared" si="45"/>
        <v>1272.3903999999998</v>
      </c>
      <c r="BG92" s="69"/>
      <c r="BH92" s="102"/>
      <c r="BI92" s="61"/>
    </row>
    <row r="93" spans="1:61" ht="12" customHeight="1">
      <c r="A93" s="72"/>
      <c r="B93" s="127" t="s">
        <v>19</v>
      </c>
      <c r="C93" s="127"/>
      <c r="D93" s="127"/>
      <c r="E93" s="39" t="e">
        <f>E84+#REF!+E58+E49+#REF!+E31+E22+E7+#REF!+#REF!</f>
        <v>#REF!</v>
      </c>
      <c r="F93" s="39" t="e">
        <f>F84+#REF!+F58+F49+#REF!+F31+F22+F7+#REF!+#REF!</f>
        <v>#REF!</v>
      </c>
      <c r="G93" s="39" t="e">
        <f>G84+#REF!+G58+G49+#REF!+G31+G22+G7+#REF!+#REF!</f>
        <v>#REF!</v>
      </c>
      <c r="H93" s="39" t="e">
        <f>H84+#REF!+H58+H49+#REF!+H31+H22+H7+#REF!+#REF!</f>
        <v>#REF!</v>
      </c>
      <c r="I93" s="39" t="e">
        <f>I84+#REF!+I58+I49+#REF!+I31+I22+I7+#REF!+#REF!</f>
        <v>#REF!</v>
      </c>
      <c r="J93" s="39" t="e">
        <f>J84+#REF!+J58+J49+#REF!+J31+J22+J7+#REF!+#REF!</f>
        <v>#REF!</v>
      </c>
      <c r="K93" s="39" t="e">
        <f>K84+#REF!+K58+K49+#REF!+K31+K22+K7+#REF!+#REF!</f>
        <v>#REF!</v>
      </c>
      <c r="L93" s="39" t="e">
        <f>L84+#REF!+L58+L49+#REF!+L31+L22+L7+#REF!+#REF!</f>
        <v>#REF!</v>
      </c>
      <c r="M93" s="39" t="e">
        <f>M84+#REF!+M58+M49+#REF!+M31+M22+M7+#REF!+#REF!</f>
        <v>#REF!</v>
      </c>
      <c r="N93" s="39" t="e">
        <f>N84+#REF!+N58+N49+#REF!+N31+N22+N7+#REF!+#REF!</f>
        <v>#REF!</v>
      </c>
      <c r="O93" s="39" t="e">
        <f>O84+#REF!+O58+O49+#REF!+O31+O22+O7+#REF!+#REF!</f>
        <v>#REF!</v>
      </c>
      <c r="P93" s="39" t="e">
        <f>P84+#REF!+P58+P49+#REF!+P31+P22+P7+#REF!+#REF!</f>
        <v>#REF!</v>
      </c>
      <c r="Q93" s="39">
        <f t="shared" si="46"/>
        <v>16</v>
      </c>
      <c r="R93" s="33">
        <f t="shared" si="46"/>
        <v>5.0500000000000007</v>
      </c>
      <c r="S93" s="39"/>
      <c r="T93" s="39">
        <f t="shared" si="47"/>
        <v>19</v>
      </c>
      <c r="U93" s="33">
        <f t="shared" si="47"/>
        <v>7.7200000000000006</v>
      </c>
      <c r="V93" s="39"/>
      <c r="W93" s="39">
        <f t="shared" si="48"/>
        <v>19</v>
      </c>
      <c r="X93" s="33">
        <f t="shared" si="48"/>
        <v>6.330000000000001</v>
      </c>
      <c r="Y93" s="39"/>
      <c r="Z93" s="39">
        <f t="shared" si="49"/>
        <v>16</v>
      </c>
      <c r="AA93" s="33">
        <f t="shared" si="49"/>
        <v>5.34</v>
      </c>
      <c r="AB93" s="39"/>
      <c r="AC93" s="39">
        <f t="shared" si="50"/>
        <v>10</v>
      </c>
      <c r="AD93" s="33">
        <f t="shared" si="50"/>
        <v>3.96</v>
      </c>
      <c r="AE93" s="39"/>
      <c r="AF93" s="39">
        <f t="shared" si="51"/>
        <v>11</v>
      </c>
      <c r="AG93" s="33">
        <f t="shared" si="51"/>
        <v>4.96</v>
      </c>
      <c r="AH93" s="39"/>
      <c r="AI93" s="39">
        <f t="shared" si="52"/>
        <v>14</v>
      </c>
      <c r="AJ93" s="33">
        <f t="shared" si="52"/>
        <v>7.33</v>
      </c>
      <c r="AK93" s="39"/>
      <c r="AL93" s="39">
        <f t="shared" si="53"/>
        <v>15</v>
      </c>
      <c r="AM93" s="33">
        <f t="shared" si="53"/>
        <v>5.8</v>
      </c>
      <c r="AN93" s="138"/>
      <c r="AO93" s="36">
        <f t="shared" si="54"/>
        <v>16</v>
      </c>
      <c r="AP93" s="30">
        <f t="shared" si="54"/>
        <v>7.07</v>
      </c>
      <c r="AQ93" s="30"/>
      <c r="AR93" s="36">
        <f t="shared" si="55"/>
        <v>16</v>
      </c>
      <c r="AS93" s="30">
        <f t="shared" si="55"/>
        <v>7.91</v>
      </c>
      <c r="AT93" s="30"/>
      <c r="AU93" s="70">
        <f t="shared" si="56"/>
        <v>13</v>
      </c>
      <c r="AV93" s="71">
        <f t="shared" si="56"/>
        <v>9.4600000000000009</v>
      </c>
      <c r="AW93" s="71"/>
      <c r="AX93" s="66">
        <f t="shared" si="57"/>
        <v>14</v>
      </c>
      <c r="AY93" s="69">
        <f t="shared" si="57"/>
        <v>6.95</v>
      </c>
      <c r="AZ93" s="69"/>
      <c r="BA93" s="70">
        <f t="shared" si="58"/>
        <v>11</v>
      </c>
      <c r="BB93" s="71">
        <f t="shared" si="58"/>
        <v>6.25</v>
      </c>
      <c r="BC93" s="71"/>
      <c r="BD93" s="102"/>
      <c r="BE93" s="66">
        <f t="shared" si="45"/>
        <v>6</v>
      </c>
      <c r="BF93" s="69">
        <f t="shared" si="45"/>
        <v>3.6500000000000004</v>
      </c>
      <c r="BG93" s="69"/>
      <c r="BH93" s="102"/>
    </row>
    <row r="94" spans="1:61" s="7" customFormat="1" ht="12" customHeight="1">
      <c r="A94" s="72"/>
      <c r="B94" s="127" t="s">
        <v>15</v>
      </c>
      <c r="C94" s="127"/>
      <c r="D94" s="127"/>
      <c r="E94" s="39" t="e">
        <f>E85+E71+E59+E50+E35+E32+E23+E8+#REF!+#REF!</f>
        <v>#REF!</v>
      </c>
      <c r="F94" s="39" t="e">
        <f>F85+F71+F59+F50+F35+F32+F23+F8+#REF!+#REF!</f>
        <v>#REF!</v>
      </c>
      <c r="G94" s="39" t="e">
        <f>G85+G71+G59+G50+G35+G32+G23+G8+#REF!+#REF!</f>
        <v>#REF!</v>
      </c>
      <c r="H94" s="39" t="e">
        <f>H85+H71+H59+H50+H35+H32+H23+H8+#REF!+#REF!</f>
        <v>#REF!</v>
      </c>
      <c r="I94" s="39" t="e">
        <f>I85+I71+I59+I50+I35+I32+I23+I8+#REF!+#REF!</f>
        <v>#REF!</v>
      </c>
      <c r="J94" s="39" t="e">
        <f>J85+J71+J59+J50+J35+J32+J23+J8+#REF!+#REF!</f>
        <v>#REF!</v>
      </c>
      <c r="K94" s="39" t="e">
        <f>K85+K71+K59+K50+K35+K32+K23+K8+#REF!+#REF!</f>
        <v>#REF!</v>
      </c>
      <c r="L94" s="39" t="e">
        <f>L85+L71+L59+L50+L35+L32+L23+L8+#REF!+#REF!</f>
        <v>#REF!</v>
      </c>
      <c r="M94" s="39" t="e">
        <f>M85+M71+M59+M50+M35+M32+M23+M8+#REF!+#REF!</f>
        <v>#REF!</v>
      </c>
      <c r="N94" s="39" t="e">
        <f>N85+N71+N59+N50+N35+N32+N23+N8+#REF!+#REF!</f>
        <v>#REF!</v>
      </c>
      <c r="O94" s="39" t="e">
        <f>O85+O71+O59+O50+O35+O32+O23+O8+#REF!+#REF!</f>
        <v>#REF!</v>
      </c>
      <c r="P94" s="39" t="e">
        <f>P85+P71+P59+P50+P35+P32+P23+P8+#REF!+#REF!</f>
        <v>#REF!</v>
      </c>
      <c r="Q94" s="39">
        <f t="shared" si="46"/>
        <v>509</v>
      </c>
      <c r="R94" s="33">
        <f t="shared" si="46"/>
        <v>508.57000000000005</v>
      </c>
      <c r="S94" s="39"/>
      <c r="T94" s="39">
        <f t="shared" si="47"/>
        <v>493</v>
      </c>
      <c r="U94" s="33">
        <f t="shared" si="47"/>
        <v>491.40999999999997</v>
      </c>
      <c r="V94" s="39"/>
      <c r="W94" s="39">
        <f t="shared" si="48"/>
        <v>493</v>
      </c>
      <c r="X94" s="33">
        <f t="shared" si="48"/>
        <v>496.63</v>
      </c>
      <c r="Y94" s="39"/>
      <c r="Z94" s="39">
        <f t="shared" si="49"/>
        <v>479</v>
      </c>
      <c r="AA94" s="33">
        <f t="shared" si="49"/>
        <v>478.37000000000006</v>
      </c>
      <c r="AB94" s="39"/>
      <c r="AC94" s="39">
        <f t="shared" si="50"/>
        <v>473</v>
      </c>
      <c r="AD94" s="33">
        <f t="shared" si="50"/>
        <v>443.56</v>
      </c>
      <c r="AE94" s="39"/>
      <c r="AF94" s="39">
        <f t="shared" si="51"/>
        <v>410</v>
      </c>
      <c r="AG94" s="33">
        <f t="shared" si="51"/>
        <v>383</v>
      </c>
      <c r="AH94" s="39"/>
      <c r="AI94" s="39">
        <f t="shared" si="52"/>
        <v>376</v>
      </c>
      <c r="AJ94" s="33">
        <f t="shared" si="52"/>
        <v>353</v>
      </c>
      <c r="AK94" s="39"/>
      <c r="AL94" s="39">
        <f t="shared" si="53"/>
        <v>343</v>
      </c>
      <c r="AM94" s="33">
        <f t="shared" si="53"/>
        <v>321.84000000000003</v>
      </c>
      <c r="AN94" s="12"/>
      <c r="AO94" s="36">
        <f t="shared" si="54"/>
        <v>344</v>
      </c>
      <c r="AP94" s="30">
        <f t="shared" si="54"/>
        <v>323.10000000000002</v>
      </c>
      <c r="AQ94" s="30"/>
      <c r="AR94" s="36">
        <f t="shared" si="55"/>
        <v>323</v>
      </c>
      <c r="AS94" s="30">
        <f t="shared" si="55"/>
        <v>305.87</v>
      </c>
      <c r="AT94" s="30"/>
      <c r="AU94" s="70">
        <f t="shared" si="56"/>
        <v>323</v>
      </c>
      <c r="AV94" s="71">
        <f t="shared" si="56"/>
        <v>308.12</v>
      </c>
      <c r="AW94" s="71"/>
      <c r="AX94" s="66">
        <f t="shared" si="57"/>
        <v>311</v>
      </c>
      <c r="AY94" s="69">
        <f t="shared" si="57"/>
        <v>295.71000000000004</v>
      </c>
      <c r="AZ94" s="69"/>
      <c r="BA94" s="70">
        <f t="shared" si="58"/>
        <v>290</v>
      </c>
      <c r="BB94" s="71">
        <f t="shared" si="58"/>
        <v>277.11</v>
      </c>
      <c r="BC94" s="71"/>
      <c r="BD94" s="113"/>
      <c r="BE94" s="66">
        <f t="shared" si="45"/>
        <v>283</v>
      </c>
      <c r="BF94" s="69">
        <f t="shared" si="45"/>
        <v>271.54160000000002</v>
      </c>
      <c r="BG94" s="69"/>
      <c r="BH94" s="113"/>
    </row>
    <row r="95" spans="1:61" s="4" customFormat="1" ht="12" customHeight="1">
      <c r="A95" s="72"/>
      <c r="B95" s="127" t="s">
        <v>21</v>
      </c>
      <c r="C95" s="127"/>
      <c r="D95" s="127"/>
      <c r="E95" s="39" t="e">
        <f>E86+E72+E60+E51+E36+E33+E24+E9+#REF!+#REF!</f>
        <v>#REF!</v>
      </c>
      <c r="F95" s="39" t="e">
        <f>F86+F72+F60+F51+F36+F33+F24+F9+#REF!+#REF!</f>
        <v>#REF!</v>
      </c>
      <c r="G95" s="39" t="e">
        <f>G86+G72+G60+G51+G36+G33+G24+G9+#REF!+#REF!</f>
        <v>#REF!</v>
      </c>
      <c r="H95" s="39" t="e">
        <f>H86+H72+H60+H51+H36+H33+H24+H9+#REF!+#REF!</f>
        <v>#REF!</v>
      </c>
      <c r="I95" s="39" t="e">
        <f>I86+I72+I60+I51+I36+I33+I24+I9+#REF!+#REF!</f>
        <v>#REF!</v>
      </c>
      <c r="J95" s="39" t="e">
        <f>J86+J72+J60+J51+J36+J33+J24+J9+#REF!+#REF!</f>
        <v>#REF!</v>
      </c>
      <c r="K95" s="39" t="e">
        <f>K86+K72+K60+K51+K36+K33+K24+K9+#REF!+#REF!</f>
        <v>#REF!</v>
      </c>
      <c r="L95" s="39" t="e">
        <f>L86+L72+L60+L51+L36+L33+L24+L9+#REF!+#REF!</f>
        <v>#REF!</v>
      </c>
      <c r="M95" s="39" t="e">
        <f>M86+M72+M60+M51+M36+M33+M24+M9+#REF!+#REF!</f>
        <v>#REF!</v>
      </c>
      <c r="N95" s="39" t="e">
        <f>N86+N72+N60+N51+N36+N33+N24+N9+#REF!+#REF!</f>
        <v>#REF!</v>
      </c>
      <c r="O95" s="39" t="e">
        <f>O86+O72+O60+O51+O36+O33+O24+O9+#REF!+#REF!</f>
        <v>#REF!</v>
      </c>
      <c r="P95" s="39" t="e">
        <f>P86+P72+P60+P51+P36+P33+P24+P9+#REF!+#REF!</f>
        <v>#REF!</v>
      </c>
      <c r="Q95" s="39">
        <f t="shared" si="46"/>
        <v>180</v>
      </c>
      <c r="R95" s="33">
        <f t="shared" si="46"/>
        <v>159.47</v>
      </c>
      <c r="S95" s="39"/>
      <c r="T95" s="39">
        <f t="shared" si="47"/>
        <v>163</v>
      </c>
      <c r="U95" s="33">
        <f t="shared" si="47"/>
        <v>140.99</v>
      </c>
      <c r="V95" s="39"/>
      <c r="W95" s="39">
        <f t="shared" si="48"/>
        <v>173</v>
      </c>
      <c r="X95" s="33">
        <f t="shared" si="48"/>
        <v>143.01999999999998</v>
      </c>
      <c r="Y95" s="39"/>
      <c r="Z95" s="39">
        <f t="shared" si="49"/>
        <v>161</v>
      </c>
      <c r="AA95" s="33">
        <f t="shared" si="49"/>
        <v>135.16</v>
      </c>
      <c r="AB95" s="39"/>
      <c r="AC95" s="39">
        <f t="shared" si="50"/>
        <v>187</v>
      </c>
      <c r="AD95" s="33">
        <f t="shared" si="50"/>
        <v>156</v>
      </c>
      <c r="AE95" s="39"/>
      <c r="AF95" s="39">
        <f t="shared" si="51"/>
        <v>208</v>
      </c>
      <c r="AG95" s="33">
        <f t="shared" si="51"/>
        <v>172</v>
      </c>
      <c r="AH95" s="39"/>
      <c r="AI95" s="39">
        <f t="shared" si="52"/>
        <v>215</v>
      </c>
      <c r="AJ95" s="33">
        <f t="shared" si="52"/>
        <v>180</v>
      </c>
      <c r="AK95" s="39"/>
      <c r="AL95" s="39">
        <f t="shared" si="53"/>
        <v>229</v>
      </c>
      <c r="AM95" s="33">
        <f t="shared" si="53"/>
        <v>201.34000000000003</v>
      </c>
      <c r="AN95" s="13"/>
      <c r="AO95" s="36">
        <f t="shared" si="54"/>
        <v>244</v>
      </c>
      <c r="AP95" s="30">
        <f t="shared" si="54"/>
        <v>235.07</v>
      </c>
      <c r="AQ95" s="30"/>
      <c r="AR95" s="36">
        <f t="shared" si="55"/>
        <v>255</v>
      </c>
      <c r="AS95" s="30">
        <f t="shared" si="55"/>
        <v>245.07</v>
      </c>
      <c r="AT95" s="30"/>
      <c r="AU95" s="70">
        <f t="shared" si="56"/>
        <v>241</v>
      </c>
      <c r="AV95" s="71">
        <f t="shared" si="56"/>
        <v>229.09</v>
      </c>
      <c r="AW95" s="71"/>
      <c r="AX95" s="66">
        <f t="shared" si="57"/>
        <v>250</v>
      </c>
      <c r="AY95" s="69">
        <f t="shared" si="57"/>
        <v>241.45</v>
      </c>
      <c r="AZ95" s="69"/>
      <c r="BA95" s="70">
        <f t="shared" si="58"/>
        <v>267</v>
      </c>
      <c r="BB95" s="71">
        <f t="shared" si="58"/>
        <v>255.92</v>
      </c>
      <c r="BC95" s="71"/>
      <c r="BD95" s="84"/>
      <c r="BE95" s="66">
        <f t="shared" si="45"/>
        <v>280</v>
      </c>
      <c r="BF95" s="69">
        <f t="shared" si="45"/>
        <v>267.7167</v>
      </c>
      <c r="BG95" s="69"/>
      <c r="BH95" s="84"/>
    </row>
    <row r="96" spans="1:61" s="5" customFormat="1" ht="12" customHeight="1">
      <c r="A96" s="72"/>
      <c r="B96" s="127" t="s">
        <v>20</v>
      </c>
      <c r="C96" s="127"/>
      <c r="D96" s="127"/>
      <c r="E96" s="39" t="e">
        <f>E87+E73+#REF!+E52+E37+E34+E25+E10+#REF!+#REF!</f>
        <v>#REF!</v>
      </c>
      <c r="F96" s="39" t="e">
        <f>F87+F73+#REF!+F52+F37+F34+F25+F10+#REF!+#REF!</f>
        <v>#REF!</v>
      </c>
      <c r="G96" s="39" t="e">
        <f>G87+G73+#REF!+G52+G37+G34+G25+G10+#REF!+#REF!</f>
        <v>#REF!</v>
      </c>
      <c r="H96" s="39" t="e">
        <f>H87+H73+#REF!+H52+H37+H34+H25+H10+#REF!+#REF!</f>
        <v>#REF!</v>
      </c>
      <c r="I96" s="39" t="e">
        <f>I87+I73+#REF!+I52+I37+I34+I25+I10+#REF!+#REF!</f>
        <v>#REF!</v>
      </c>
      <c r="J96" s="39" t="e">
        <f>J87+J73+#REF!+J52+J37+J34+J25+J10+#REF!+#REF!</f>
        <v>#REF!</v>
      </c>
      <c r="K96" s="39" t="e">
        <f>K87+K73+#REF!+K52+K37+K34+K25+K10+#REF!+#REF!</f>
        <v>#REF!</v>
      </c>
      <c r="L96" s="39" t="e">
        <f>L87+L73+#REF!+L52+L37+L34+L25+L10+#REF!+#REF!</f>
        <v>#REF!</v>
      </c>
      <c r="M96" s="39" t="e">
        <f>M87+M73+#REF!+M52+M37+M34+M25+M10+#REF!+#REF!</f>
        <v>#REF!</v>
      </c>
      <c r="N96" s="39" t="e">
        <f>N87+N73+#REF!+N52+N37+N34+N25+N10+#REF!+#REF!</f>
        <v>#REF!</v>
      </c>
      <c r="O96" s="39" t="e">
        <f>O87+O73+#REF!+O52+O37+O34+O25+O10+#REF!+#REF!</f>
        <v>#REF!</v>
      </c>
      <c r="P96" s="39" t="e">
        <f>P87+P73+#REF!+P52+P37+P34+P25+P10+#REF!+#REF!</f>
        <v>#REF!</v>
      </c>
      <c r="Q96" s="39">
        <f t="shared" si="46"/>
        <v>1811</v>
      </c>
      <c r="R96" s="33">
        <f t="shared" si="46"/>
        <v>870.88</v>
      </c>
      <c r="S96" s="39"/>
      <c r="T96" s="39">
        <f t="shared" si="47"/>
        <v>1779</v>
      </c>
      <c r="U96" s="33">
        <f t="shared" si="47"/>
        <v>860.99</v>
      </c>
      <c r="V96" s="39"/>
      <c r="W96" s="39">
        <f t="shared" si="48"/>
        <v>1828</v>
      </c>
      <c r="X96" s="33">
        <f t="shared" si="48"/>
        <v>891.93000000000006</v>
      </c>
      <c r="Y96" s="39"/>
      <c r="Z96" s="39">
        <f t="shared" si="49"/>
        <v>1875</v>
      </c>
      <c r="AA96" s="33">
        <f t="shared" si="49"/>
        <v>898.76999999999987</v>
      </c>
      <c r="AB96" s="39"/>
      <c r="AC96" s="39">
        <f t="shared" si="50"/>
        <v>1888</v>
      </c>
      <c r="AD96" s="33">
        <f t="shared" si="50"/>
        <v>904</v>
      </c>
      <c r="AE96" s="39"/>
      <c r="AF96" s="39">
        <f t="shared" si="51"/>
        <v>1931</v>
      </c>
      <c r="AG96" s="33">
        <f t="shared" si="51"/>
        <v>912</v>
      </c>
      <c r="AH96" s="39"/>
      <c r="AI96" s="39">
        <f t="shared" si="52"/>
        <v>2066</v>
      </c>
      <c r="AJ96" s="33">
        <f t="shared" si="52"/>
        <v>919</v>
      </c>
      <c r="AK96" s="39"/>
      <c r="AL96" s="39">
        <f t="shared" si="53"/>
        <v>2090</v>
      </c>
      <c r="AM96" s="33">
        <f t="shared" si="53"/>
        <v>935.91</v>
      </c>
      <c r="AN96" s="14"/>
      <c r="AO96" s="36">
        <f t="shared" si="54"/>
        <v>2430</v>
      </c>
      <c r="AP96" s="30">
        <f t="shared" si="54"/>
        <v>1178.01</v>
      </c>
      <c r="AQ96" s="30"/>
      <c r="AR96" s="36">
        <f t="shared" si="55"/>
        <v>2621</v>
      </c>
      <c r="AS96" s="30">
        <f t="shared" si="55"/>
        <v>1254.7799999999997</v>
      </c>
      <c r="AT96" s="30"/>
      <c r="AU96" s="70">
        <f t="shared" si="56"/>
        <v>2715</v>
      </c>
      <c r="AV96" s="71">
        <f t="shared" si="56"/>
        <v>1299.8600000000001</v>
      </c>
      <c r="AW96" s="71"/>
      <c r="AX96" s="66">
        <f t="shared" si="57"/>
        <v>2733</v>
      </c>
      <c r="AY96" s="69">
        <f t="shared" si="57"/>
        <v>1321.97</v>
      </c>
      <c r="AZ96" s="69"/>
      <c r="BA96" s="70">
        <f t="shared" si="58"/>
        <v>2818</v>
      </c>
      <c r="BB96" s="71">
        <f t="shared" si="58"/>
        <v>1349.1599999999999</v>
      </c>
      <c r="BC96" s="71"/>
      <c r="BD96" s="114"/>
      <c r="BE96" s="66">
        <f t="shared" si="45"/>
        <v>2713</v>
      </c>
      <c r="BF96" s="69">
        <f>BF87+BF78+BF60+BF51+BF42+BF33+BF24+BF15</f>
        <v>1303.2885999999999</v>
      </c>
      <c r="BG96" s="69"/>
      <c r="BH96" s="114"/>
    </row>
    <row r="97" spans="1:60" s="5" customFormat="1" ht="12" customHeight="1">
      <c r="A97" s="20"/>
      <c r="B97" s="20"/>
      <c r="C97" s="20"/>
      <c r="D97" s="20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3"/>
      <c r="S97" s="39"/>
      <c r="T97" s="39"/>
      <c r="U97" s="33"/>
      <c r="V97" s="39"/>
      <c r="W97" s="39"/>
      <c r="X97" s="33"/>
      <c r="Y97" s="39"/>
      <c r="Z97" s="39"/>
      <c r="AA97" s="33"/>
      <c r="AB97" s="39"/>
      <c r="AC97" s="39"/>
      <c r="AD97" s="33"/>
      <c r="AE97" s="39"/>
      <c r="AF97" s="39"/>
      <c r="AG97" s="33"/>
      <c r="AH97" s="39"/>
      <c r="AI97" s="39"/>
      <c r="AJ97" s="33"/>
      <c r="AK97" s="39"/>
      <c r="AL97" s="39"/>
      <c r="AM97" s="33"/>
      <c r="AN97" s="6"/>
      <c r="AO97" s="36"/>
      <c r="AP97" s="30"/>
      <c r="AQ97" s="30"/>
      <c r="AR97" s="36"/>
      <c r="AS97" s="30"/>
      <c r="AT97" s="30"/>
      <c r="AU97" s="36"/>
      <c r="AV97" s="30"/>
      <c r="AW97" s="30"/>
      <c r="AX97" s="36"/>
      <c r="AY97" s="30"/>
      <c r="AZ97" s="30"/>
      <c r="BA97" s="36"/>
      <c r="BB97" s="30"/>
      <c r="BC97" s="30"/>
      <c r="BE97" s="36"/>
      <c r="BF97" s="30"/>
      <c r="BG97" s="30"/>
    </row>
    <row r="98" spans="1:60" s="5" customFormat="1" ht="12" customHeight="1">
      <c r="B98" s="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3"/>
      <c r="S98" s="39"/>
      <c r="T98" s="39"/>
      <c r="U98" s="33"/>
      <c r="V98" s="39"/>
      <c r="W98" s="39"/>
      <c r="X98" s="33"/>
      <c r="Y98" s="39"/>
      <c r="Z98" s="39"/>
      <c r="AA98" s="33"/>
      <c r="AB98" s="39"/>
      <c r="AC98" s="39"/>
      <c r="AD98" s="33"/>
      <c r="AE98" s="39"/>
      <c r="AF98" s="39"/>
      <c r="AG98" s="33"/>
      <c r="AH98" s="39"/>
      <c r="AI98" s="39"/>
      <c r="AJ98" s="33"/>
      <c r="AK98" s="39"/>
      <c r="AL98" s="39"/>
      <c r="AM98" s="33"/>
      <c r="AN98" s="6"/>
      <c r="AO98" s="39"/>
      <c r="AP98" s="34"/>
      <c r="AQ98" s="34"/>
      <c r="AR98" s="39"/>
      <c r="AS98" s="34"/>
      <c r="AT98" s="34"/>
      <c r="AU98" s="39"/>
      <c r="AV98" s="34"/>
      <c r="AW98" s="34"/>
      <c r="AX98" s="39"/>
      <c r="AY98" s="34"/>
      <c r="AZ98" s="34"/>
      <c r="BA98" s="39"/>
      <c r="BB98" s="34"/>
      <c r="BC98" s="34"/>
      <c r="BE98" s="39"/>
      <c r="BF98" s="34"/>
      <c r="BG98" s="34"/>
    </row>
    <row r="99" spans="1:60" s="118" customFormat="1" ht="15.75" customHeight="1">
      <c r="A99" s="117" t="s">
        <v>47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</row>
    <row r="100" spans="1:60" s="118" customFormat="1" ht="15.75" customHeight="1">
      <c r="A100" s="117" t="s">
        <v>49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</row>
    <row r="101" spans="1:60" s="118" customFormat="1" ht="14.25" customHeight="1">
      <c r="A101" s="119" t="s">
        <v>54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</row>
    <row r="102" spans="1:60" s="115" customFormat="1" ht="15" customHeight="1">
      <c r="A102" s="116" t="s">
        <v>48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</row>
    <row r="103" spans="1:60" ht="15" hidden="1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E103" s="63"/>
      <c r="BF103" s="63"/>
      <c r="BG103" s="63"/>
    </row>
    <row r="104" spans="1:60" s="38" customFormat="1" ht="12" hidden="1" customHeight="1">
      <c r="A104" s="144" t="s">
        <v>35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</row>
    <row r="105" spans="1:60" s="38" customFormat="1" ht="12" hidden="1" customHeight="1">
      <c r="A105" s="144" t="s">
        <v>36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</row>
    <row r="106" spans="1:60" s="38" customFormat="1" ht="12" hidden="1" customHeight="1">
      <c r="A106" s="144" t="s">
        <v>37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</row>
    <row r="107" spans="1:60" ht="5.0999999999999996" customHeight="1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E107" s="9"/>
      <c r="BF107" s="9"/>
      <c r="BG107" s="9"/>
    </row>
    <row r="108" spans="1:60" s="16" customFormat="1" ht="15" hidden="1" customHeight="1">
      <c r="A108" s="144" t="s">
        <v>38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52"/>
      <c r="BE108" s="52"/>
      <c r="BF108" s="52"/>
      <c r="BG108" s="52"/>
      <c r="BH108" s="52"/>
    </row>
    <row r="109" spans="1:60" s="16" customFormat="1" ht="1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52"/>
      <c r="BE109" s="63"/>
      <c r="BF109" s="63"/>
      <c r="BG109" s="63"/>
      <c r="BH109" s="52"/>
    </row>
    <row r="110" spans="1:60" s="16" customFormat="1" ht="1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52"/>
      <c r="BE110" s="63"/>
      <c r="BF110" s="63"/>
      <c r="BG110" s="63"/>
      <c r="BH110" s="52"/>
    </row>
    <row r="111" spans="1:60" s="16" customFormat="1" ht="1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52"/>
      <c r="BE111" s="63"/>
      <c r="BF111" s="63"/>
      <c r="BG111" s="63"/>
      <c r="BH111" s="52"/>
    </row>
    <row r="112" spans="1:60">
      <c r="A112" s="143" t="s">
        <v>34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62"/>
      <c r="BF112" s="62"/>
      <c r="BG112" s="62"/>
      <c r="BH112" s="62"/>
    </row>
    <row r="113" spans="1:60">
      <c r="A113" s="143" t="s">
        <v>55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62"/>
      <c r="BF113" s="62"/>
      <c r="BG113" s="62"/>
      <c r="BH113" s="62"/>
    </row>
  </sheetData>
  <mergeCells count="110">
    <mergeCell ref="BE6:BG6"/>
    <mergeCell ref="BE69:BG69"/>
    <mergeCell ref="A113:BD113"/>
    <mergeCell ref="A104:BC104"/>
    <mergeCell ref="A105:BC105"/>
    <mergeCell ref="A106:BC106"/>
    <mergeCell ref="A107:BC107"/>
    <mergeCell ref="A108:BC108"/>
    <mergeCell ref="A112:BD112"/>
    <mergeCell ref="A80:D80"/>
    <mergeCell ref="A89:D89"/>
    <mergeCell ref="AN72:AN93"/>
    <mergeCell ref="B77:D77"/>
    <mergeCell ref="B78:D78"/>
    <mergeCell ref="B81:D81"/>
    <mergeCell ref="B82:D82"/>
    <mergeCell ref="B73:D73"/>
    <mergeCell ref="B74:D74"/>
    <mergeCell ref="B75:D75"/>
    <mergeCell ref="B76:D76"/>
    <mergeCell ref="AR69:AT69"/>
    <mergeCell ref="AU69:AW69"/>
    <mergeCell ref="AX69:AZ69"/>
    <mergeCell ref="BA69:BC69"/>
    <mergeCell ref="B72:D72"/>
    <mergeCell ref="W69:X69"/>
    <mergeCell ref="Z69:AA69"/>
    <mergeCell ref="AC69:AD69"/>
    <mergeCell ref="AF69:AG69"/>
    <mergeCell ref="AI69:AJ69"/>
    <mergeCell ref="AL69:AM69"/>
    <mergeCell ref="AO69:AP69"/>
    <mergeCell ref="B49:D49"/>
    <mergeCell ref="B50:D50"/>
    <mergeCell ref="B51:D51"/>
    <mergeCell ref="B54:D54"/>
    <mergeCell ref="B55:D55"/>
    <mergeCell ref="A66:BC66"/>
    <mergeCell ref="B60:D60"/>
    <mergeCell ref="A70:D70"/>
    <mergeCell ref="A71:D71"/>
    <mergeCell ref="B11:D11"/>
    <mergeCell ref="B12:D12"/>
    <mergeCell ref="B13:D13"/>
    <mergeCell ref="B14:D14"/>
    <mergeCell ref="B15:D15"/>
    <mergeCell ref="A44:D44"/>
    <mergeCell ref="A53:D53"/>
    <mergeCell ref="A63:BC63"/>
    <mergeCell ref="A65:BD65"/>
    <mergeCell ref="B18:D18"/>
    <mergeCell ref="B19:D19"/>
    <mergeCell ref="B20:D20"/>
    <mergeCell ref="B21:D21"/>
    <mergeCell ref="B22:D22"/>
    <mergeCell ref="B23:D23"/>
    <mergeCell ref="B24:D24"/>
    <mergeCell ref="B27:D27"/>
    <mergeCell ref="B28:D28"/>
    <mergeCell ref="B29:D29"/>
    <mergeCell ref="B42:D42"/>
    <mergeCell ref="B45:D45"/>
    <mergeCell ref="B46:D46"/>
    <mergeCell ref="B47:D47"/>
    <mergeCell ref="B48:D48"/>
    <mergeCell ref="AO6:AP6"/>
    <mergeCell ref="AR6:AT6"/>
    <mergeCell ref="A2:BD2"/>
    <mergeCell ref="A8:D8"/>
    <mergeCell ref="A7:D7"/>
    <mergeCell ref="AX6:AZ6"/>
    <mergeCell ref="BA6:BC6"/>
    <mergeCell ref="AU6:AW6"/>
    <mergeCell ref="A17:D17"/>
    <mergeCell ref="AN10:AN42"/>
    <mergeCell ref="A26:D26"/>
    <mergeCell ref="A35:D35"/>
    <mergeCell ref="W6:X6"/>
    <mergeCell ref="Z6:AA6"/>
    <mergeCell ref="AC6:AD6"/>
    <mergeCell ref="AF6:AG6"/>
    <mergeCell ref="AI6:AJ6"/>
    <mergeCell ref="AL6:AM6"/>
    <mergeCell ref="B10:D10"/>
    <mergeCell ref="B30:D30"/>
    <mergeCell ref="B31:D31"/>
    <mergeCell ref="B32:D32"/>
    <mergeCell ref="B33:D33"/>
    <mergeCell ref="B36:D36"/>
    <mergeCell ref="B37:D37"/>
    <mergeCell ref="B38:D38"/>
    <mergeCell ref="B39:D39"/>
    <mergeCell ref="B40:D40"/>
    <mergeCell ref="B41:D41"/>
    <mergeCell ref="B56:D56"/>
    <mergeCell ref="B57:D57"/>
    <mergeCell ref="B58:D58"/>
    <mergeCell ref="B59:D59"/>
    <mergeCell ref="B95:D95"/>
    <mergeCell ref="B96:D96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</mergeCells>
  <phoneticPr fontId="0" type="noConversion"/>
  <printOptions horizontalCentered="1"/>
  <pageMargins left="0.5" right="0.5" top="0.75" bottom="0.75" header="0.3" footer="0.3"/>
  <pageSetup scale="81" fitToHeight="0" orientation="portrait" horizontalDpi="1200" verticalDpi="1200" r:id="rId1"/>
  <headerFooter alignWithMargins="0"/>
  <rowBreaks count="1" manualBreakCount="1">
    <brk id="63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Faculty Headcount FTE College</vt:lpstr>
      <vt:lpstr>'Faculty Headcount FTE College'!Print_Area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2018-12-17T19:56:20Z</cp:lastPrinted>
  <dcterms:created xsi:type="dcterms:W3CDTF">1999-11-10T22:42:55Z</dcterms:created>
  <dcterms:modified xsi:type="dcterms:W3CDTF">2019-01-10T20:13:01Z</dcterms:modified>
</cp:coreProperties>
</file>